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090" activeTab="2"/>
  </bookViews>
  <sheets>
    <sheet name="1月" sheetId="109" r:id="rId1"/>
    <sheet name="2月" sheetId="110" r:id="rId2"/>
    <sheet name="3月" sheetId="111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<sst xmlns="http://schemas.openxmlformats.org/spreadsheetml/2006/main" count="434" uniqueCount="131">
  <si>
    <t>2022年</t>
  </si>
  <si>
    <t>1月</t>
  </si>
  <si>
    <t>全国期货市场成交情况统计</t>
  </si>
  <si>
    <t>交易所名称</t>
  </si>
  <si>
    <t>品种名称</t>
  </si>
  <si>
    <t>本月成交量（手）</t>
  </si>
  <si>
    <t>去年同期成交量（手）</t>
  </si>
  <si>
    <t>同比增减（％）</t>
  </si>
  <si>
    <t>上月成交量（手）</t>
  </si>
  <si>
    <t>环比增减（％）</t>
  </si>
  <si>
    <t>本月成交量占全国份额（％）</t>
  </si>
  <si>
    <t>本月成交额          （亿元）</t>
  </si>
  <si>
    <t>去年同期成交额（亿元）</t>
  </si>
  <si>
    <t>上月成交额         （亿元）</t>
  </si>
  <si>
    <t>本月交易额占全国份额（％）</t>
  </si>
  <si>
    <t>今年累计成交总量（手）</t>
  </si>
  <si>
    <t>去年同期成交总量（手）</t>
  </si>
  <si>
    <t>今年累计成交总量占全国份额(%)</t>
  </si>
  <si>
    <t>今年累计成交总额（亿元）</t>
  </si>
  <si>
    <t>去年同期成交总额（亿元）</t>
  </si>
  <si>
    <t>今年累计成交总额占全国份额(%)</t>
  </si>
  <si>
    <t>本月月末持仓量(手）</t>
  </si>
  <si>
    <t>本月月末持仓量占全国份额（%）</t>
  </si>
  <si>
    <t>上月月末持仓量（手）</t>
  </si>
  <si>
    <t>上海期货交易所</t>
  </si>
  <si>
    <t>纸浆</t>
  </si>
  <si>
    <t>锌</t>
  </si>
  <si>
    <t>线材</t>
  </si>
  <si>
    <t>锡</t>
  </si>
  <si>
    <t>铜</t>
  </si>
  <si>
    <t>天然橡胶</t>
  </si>
  <si>
    <t>石油沥青</t>
  </si>
  <si>
    <t>热轧卷板</t>
  </si>
  <si>
    <t>燃料油</t>
  </si>
  <si>
    <t>铅</t>
  </si>
  <si>
    <t>镍</t>
  </si>
  <si>
    <t>螺纹钢</t>
  </si>
  <si>
    <t>铝</t>
  </si>
  <si>
    <t>黄金</t>
  </si>
  <si>
    <t>不锈钢</t>
  </si>
  <si>
    <t>白银</t>
  </si>
  <si>
    <t>锌期权</t>
  </si>
  <si>
    <t>铜期权</t>
  </si>
  <si>
    <t>天胶期权</t>
  </si>
  <si>
    <t>铝期权</t>
  </si>
  <si>
    <t>黄金期权</t>
  </si>
  <si>
    <t>总计</t>
  </si>
  <si>
    <t>上海国际能源交易中心</t>
  </si>
  <si>
    <t>原油</t>
  </si>
  <si>
    <t>铜(BC)</t>
  </si>
  <si>
    <t>低硫燃料油</t>
  </si>
  <si>
    <t>20号胶</t>
  </si>
  <si>
    <t>原油期权</t>
  </si>
  <si>
    <t>郑州商品交易所</t>
  </si>
  <si>
    <t>一号棉CF</t>
  </si>
  <si>
    <t>一号棉期权</t>
  </si>
  <si>
    <t>棉纱</t>
  </si>
  <si>
    <t>早籼稻</t>
  </si>
  <si>
    <t>甲醇MA</t>
  </si>
  <si>
    <t>甲醇期权</t>
  </si>
  <si>
    <t>菜籽油</t>
  </si>
  <si>
    <t>油菜籽RS</t>
  </si>
  <si>
    <t>菜籽粕RM</t>
  </si>
  <si>
    <t>菜籽粕期权</t>
  </si>
  <si>
    <t>白糖SR</t>
  </si>
  <si>
    <t>白糖期权</t>
  </si>
  <si>
    <t>PTA</t>
  </si>
  <si>
    <t>PTA期权</t>
  </si>
  <si>
    <t>普麦PM</t>
  </si>
  <si>
    <t>优质强筋小麦</t>
  </si>
  <si>
    <t>玻璃FG</t>
  </si>
  <si>
    <t>动力煤ZC</t>
  </si>
  <si>
    <t>动力煤期权</t>
  </si>
  <si>
    <t>粳稻JR</t>
  </si>
  <si>
    <t>晚籼稻LR</t>
  </si>
  <si>
    <t>硅铁SF</t>
  </si>
  <si>
    <t>锰硅SM</t>
  </si>
  <si>
    <t>苹果</t>
  </si>
  <si>
    <t>红枣</t>
  </si>
  <si>
    <t>尿素</t>
  </si>
  <si>
    <t>纯碱</t>
  </si>
  <si>
    <t>短纤</t>
  </si>
  <si>
    <t>花生PK</t>
  </si>
  <si>
    <t/>
  </si>
  <si>
    <t>-</t>
  </si>
  <si>
    <t>总额</t>
  </si>
  <si>
    <t>大连商品交易所</t>
  </si>
  <si>
    <t>豆一</t>
  </si>
  <si>
    <t>豆二</t>
  </si>
  <si>
    <t>胶合板</t>
  </si>
  <si>
    <t>玉米</t>
  </si>
  <si>
    <t>玉米淀粉</t>
  </si>
  <si>
    <t>苯乙烯</t>
  </si>
  <si>
    <t>乙二醇</t>
  </si>
  <si>
    <t>纤维板</t>
  </si>
  <si>
    <t>铁矿石</t>
  </si>
  <si>
    <t>焦炭</t>
  </si>
  <si>
    <t>鸡蛋</t>
  </si>
  <si>
    <t>焦煤</t>
  </si>
  <si>
    <t>聚乙烯</t>
  </si>
  <si>
    <t>生猪</t>
  </si>
  <si>
    <t>豆粕</t>
  </si>
  <si>
    <t>棕榈油</t>
  </si>
  <si>
    <t>液化石油气</t>
  </si>
  <si>
    <t>聚丙烯</t>
  </si>
  <si>
    <t>粳米</t>
  </si>
  <si>
    <t>聚氯乙烯</t>
  </si>
  <si>
    <t>豆油</t>
  </si>
  <si>
    <t>玉米期权</t>
  </si>
  <si>
    <t>铁矿石期权</t>
  </si>
  <si>
    <t>聚乙烯期权</t>
  </si>
  <si>
    <t>豆粕期权</t>
  </si>
  <si>
    <t>液化石油气期权</t>
  </si>
  <si>
    <t>聚丙烯期权</t>
  </si>
  <si>
    <t>聚氯乙烯期权</t>
  </si>
  <si>
    <t>棕榈油期权</t>
  </si>
  <si>
    <t>大商所 - 总计</t>
  </si>
  <si>
    <t xml:space="preserve">中国金融期货交易所 </t>
  </si>
  <si>
    <t>10年期国债期货</t>
  </si>
  <si>
    <t>2年期国债期货</t>
  </si>
  <si>
    <t>5年期国债期货</t>
  </si>
  <si>
    <t>沪深300股指期货</t>
  </si>
  <si>
    <t>沪深300股指期权</t>
  </si>
  <si>
    <t>上证50股指期货</t>
  </si>
  <si>
    <t>中证500股指期货</t>
  </si>
  <si>
    <t>合计</t>
  </si>
  <si>
    <t>全国期货市场交易总额</t>
  </si>
  <si>
    <t xml:space="preserve">注：1.本表根据上海期货交易所、郑州商品交易所、大连商品交易所和中国金融期货交易所提供数据计算；2.表中数据均为单边计算；3.表中数据均不含期转现数据。             
</t>
  </si>
  <si>
    <t>2月</t>
  </si>
  <si>
    <t>3月</t>
  </si>
  <si>
    <r>
      <rPr>
        <sz val="9"/>
        <rFont val="宋体"/>
        <charset val="134"/>
      </rPr>
      <t>注：1.本表根据上海期货交易所、郑州商品交易所、大连商品交易所和中国金融期货交易所提供数据计算；2.表中数据均为单边计算；3.表中数据均不含期转现数据</t>
    </r>
    <r>
      <rPr>
        <sz val="9"/>
        <rFont val="宋体"/>
        <charset val="134"/>
      </rPr>
      <t xml:space="preserve">。             
</t>
    </r>
  </si>
</sst>
</file>

<file path=xl/styles.xml><?xml version="1.0" encoding="utf-8"?>
<styleSheet xmlns="http://schemas.openxmlformats.org/spreadsheetml/2006/main">
  <numFmts count="9">
    <numFmt numFmtId="176" formatCode="#,##0_);[Red]\(#,##0\)"/>
    <numFmt numFmtId="177" formatCode="#,##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#,##0_ "/>
    <numFmt numFmtId="179" formatCode="#,##0.00_);[Red]\(#,##0.00\)"/>
    <numFmt numFmtId="180" formatCode="0.0000%"/>
  </numFmts>
  <fonts count="45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6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</fonts>
  <fills count="60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3" borderId="2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17" borderId="26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8" borderId="24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3" fillId="23" borderId="28" applyNumberFormat="0" applyAlignment="0" applyProtection="0">
      <alignment vertical="center"/>
    </xf>
    <xf numFmtId="0" fontId="27" fillId="23" borderId="21" applyNumberFormat="0" applyAlignment="0" applyProtection="0">
      <alignment vertical="center"/>
    </xf>
    <xf numFmtId="0" fontId="10" fillId="12" borderId="19" applyNumberFormat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6" fillId="17" borderId="22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/>
    <xf numFmtId="0" fontId="29" fillId="3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7" fillId="0" borderId="31" applyNumberFormat="0" applyFill="0" applyAlignment="0" applyProtection="0">
      <alignment vertical="center"/>
    </xf>
    <xf numFmtId="0" fontId="39" fillId="0" borderId="32" applyNumberFormat="0" applyFill="0" applyAlignment="0" applyProtection="0">
      <alignment vertical="center"/>
    </xf>
    <xf numFmtId="0" fontId="35" fillId="0" borderId="3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41" fillId="0" borderId="0">
      <alignment vertical="top"/>
    </xf>
    <xf numFmtId="0" fontId="9" fillId="0" borderId="0"/>
    <xf numFmtId="0" fontId="42" fillId="50" borderId="0" applyNumberFormat="0" applyBorder="0" applyAlignment="0" applyProtection="0">
      <alignment vertical="center"/>
    </xf>
    <xf numFmtId="0" fontId="1" fillId="0" borderId="30" applyNumberFormat="0" applyFill="0" applyAlignment="0" applyProtection="0">
      <alignment vertical="center"/>
    </xf>
    <xf numFmtId="0" fontId="11" fillId="4" borderId="2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1" fillId="30" borderId="26" applyNumberFormat="0" applyAlignment="0" applyProtection="0">
      <alignment vertical="center"/>
    </xf>
    <xf numFmtId="0" fontId="0" fillId="59" borderId="35" applyNumberFormat="0" applyFont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60">
      <alignment vertical="center"/>
    </xf>
    <xf numFmtId="0" fontId="1" fillId="0" borderId="0" xfId="60" applyFont="1" applyFill="1">
      <alignment vertical="center"/>
    </xf>
    <xf numFmtId="0" fontId="1" fillId="0" borderId="0" xfId="60" applyFont="1">
      <alignment vertical="center"/>
    </xf>
    <xf numFmtId="0" fontId="2" fillId="0" borderId="1" xfId="60" applyFont="1" applyFill="1" applyBorder="1" applyAlignment="1">
      <alignment horizontal="center" vertical="center" wrapText="1"/>
    </xf>
    <xf numFmtId="0" fontId="2" fillId="0" borderId="0" xfId="60" applyFont="1" applyFill="1" applyBorder="1" applyAlignment="1">
      <alignment horizontal="center" vertical="center" wrapText="1"/>
    </xf>
    <xf numFmtId="177" fontId="3" fillId="0" borderId="2" xfId="60" applyNumberFormat="1" applyFont="1" applyFill="1" applyBorder="1" applyAlignment="1" applyProtection="1">
      <alignment vertical="center"/>
      <protection locked="0"/>
    </xf>
    <xf numFmtId="177" fontId="4" fillId="0" borderId="3" xfId="60" applyNumberFormat="1" applyFont="1" applyFill="1" applyBorder="1" applyAlignment="1" applyProtection="1">
      <alignment horizontal="center" vertical="center" wrapText="1"/>
    </xf>
    <xf numFmtId="177" fontId="4" fillId="0" borderId="4" xfId="60" applyNumberFormat="1" applyFont="1" applyFill="1" applyBorder="1" applyAlignment="1" applyProtection="1">
      <alignment horizontal="center" vertical="center" wrapText="1"/>
    </xf>
    <xf numFmtId="176" fontId="4" fillId="0" borderId="4" xfId="60" applyNumberFormat="1" applyFont="1" applyFill="1" applyBorder="1" applyAlignment="1" applyProtection="1">
      <alignment horizontal="center" vertical="center" wrapText="1"/>
    </xf>
    <xf numFmtId="10" fontId="4" fillId="0" borderId="4" xfId="60" applyNumberFormat="1" applyFont="1" applyFill="1" applyBorder="1" applyAlignment="1" applyProtection="1">
      <alignment horizontal="center" vertical="center" wrapText="1"/>
    </xf>
    <xf numFmtId="177" fontId="4" fillId="0" borderId="5" xfId="6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60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60" applyNumberFormat="1" applyFont="1" applyBorder="1" applyAlignment="1">
      <alignment horizontal="right" vertical="center"/>
    </xf>
    <xf numFmtId="10" fontId="2" fillId="0" borderId="1" xfId="60" applyNumberFormat="1" applyFont="1" applyFill="1" applyBorder="1" applyAlignment="1">
      <alignment horizontal="right" vertical="center"/>
    </xf>
    <xf numFmtId="177" fontId="4" fillId="2" borderId="1" xfId="60" applyNumberFormat="1" applyFont="1" applyFill="1" applyBorder="1" applyAlignment="1" applyProtection="1">
      <alignment horizontal="center" vertical="center" wrapText="1"/>
      <protection locked="0"/>
    </xf>
    <xf numFmtId="3" fontId="4" fillId="2" borderId="1" xfId="60" applyNumberFormat="1" applyFont="1" applyFill="1" applyBorder="1" applyAlignment="1">
      <alignment horizontal="right" vertical="center"/>
    </xf>
    <xf numFmtId="10" fontId="4" fillId="2" borderId="1" xfId="60" applyNumberFormat="1" applyFont="1" applyFill="1" applyBorder="1" applyAlignment="1">
      <alignment horizontal="right" vertical="center"/>
    </xf>
    <xf numFmtId="177" fontId="4" fillId="0" borderId="6" xfId="60" applyNumberFormat="1" applyFont="1" applyFill="1" applyBorder="1" applyAlignment="1" applyProtection="1">
      <alignment horizontal="center" vertical="center" wrapText="1"/>
      <protection locked="0"/>
    </xf>
    <xf numFmtId="10" fontId="2" fillId="0" borderId="1" xfId="60" applyNumberFormat="1" applyFont="1" applyFill="1" applyBorder="1" applyAlignment="1">
      <alignment horizontal="right" vertical="center" wrapText="1"/>
    </xf>
    <xf numFmtId="177" fontId="4" fillId="0" borderId="7" xfId="6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>
      <alignment horizontal="center" vertical="center" wrapText="1"/>
    </xf>
    <xf numFmtId="10" fontId="4" fillId="2" borderId="1" xfId="60" applyNumberFormat="1" applyFont="1" applyFill="1" applyBorder="1" applyAlignment="1">
      <alignment horizontal="right" vertical="center" wrapText="1"/>
    </xf>
    <xf numFmtId="177" fontId="4" fillId="0" borderId="5" xfId="92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/>
    </xf>
    <xf numFmtId="10" fontId="2" fillId="0" borderId="1" xfId="13" applyNumberFormat="1" applyFont="1" applyFill="1" applyBorder="1" applyAlignment="1" applyProtection="1">
      <alignment horizontal="right" vertical="center"/>
    </xf>
    <xf numFmtId="10" fontId="2" fillId="0" borderId="1" xfId="72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6" fillId="0" borderId="0" xfId="6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4" fillId="2" borderId="1" xfId="92" applyNumberFormat="1" applyFont="1" applyFill="1" applyBorder="1" applyAlignment="1" applyProtection="1">
      <alignment horizontal="center" vertical="center" wrapText="1"/>
      <protection locked="0"/>
    </xf>
    <xf numFmtId="10" fontId="4" fillId="2" borderId="1" xfId="13" applyNumberFormat="1" applyFont="1" applyFill="1" applyBorder="1" applyAlignment="1" applyProtection="1">
      <alignment horizontal="right" vertical="center"/>
    </xf>
    <xf numFmtId="10" fontId="4" fillId="2" borderId="1" xfId="72" applyNumberFormat="1" applyFont="1" applyFill="1" applyBorder="1" applyAlignment="1">
      <alignment horizontal="right" vertical="center" wrapText="1"/>
    </xf>
    <xf numFmtId="49" fontId="3" fillId="0" borderId="2" xfId="60" applyNumberFormat="1" applyFont="1" applyFill="1" applyBorder="1" applyAlignment="1" applyProtection="1">
      <alignment vertical="center"/>
      <protection locked="0"/>
    </xf>
    <xf numFmtId="4" fontId="2" fillId="0" borderId="1" xfId="60" applyNumberFormat="1" applyFont="1" applyBorder="1" applyAlignment="1">
      <alignment horizontal="right" vertical="center"/>
    </xf>
    <xf numFmtId="4" fontId="4" fillId="2" borderId="1" xfId="60" applyNumberFormat="1" applyFont="1" applyFill="1" applyBorder="1" applyAlignment="1">
      <alignment horizontal="right" vertical="center"/>
    </xf>
    <xf numFmtId="178" fontId="2" fillId="0" borderId="1" xfId="60" applyNumberFormat="1" applyFont="1" applyFill="1" applyBorder="1" applyAlignment="1">
      <alignment horizontal="right" vertical="center"/>
    </xf>
    <xf numFmtId="178" fontId="4" fillId="2" borderId="1" xfId="60" applyNumberFormat="1" applyFont="1" applyFill="1" applyBorder="1" applyAlignment="1">
      <alignment horizontal="right" vertical="center"/>
    </xf>
    <xf numFmtId="178" fontId="2" fillId="0" borderId="1" xfId="60" applyNumberFormat="1" applyFont="1" applyBorder="1" applyAlignment="1">
      <alignment horizontal="right" vertical="center"/>
    </xf>
    <xf numFmtId="10" fontId="2" fillId="0" borderId="1" xfId="72" applyNumberFormat="1" applyFont="1" applyFill="1" applyBorder="1" applyAlignment="1">
      <alignment horizontal="right" vertical="center"/>
    </xf>
    <xf numFmtId="10" fontId="4" fillId="2" borderId="1" xfId="72" applyNumberFormat="1" applyFont="1" applyFill="1" applyBorder="1" applyAlignment="1">
      <alignment horizontal="right" vertical="center"/>
    </xf>
    <xf numFmtId="10" fontId="4" fillId="0" borderId="10" xfId="60" applyNumberFormat="1" applyFont="1" applyFill="1" applyBorder="1" applyAlignment="1" applyProtection="1">
      <alignment horizontal="center" vertical="center" wrapText="1"/>
    </xf>
    <xf numFmtId="10" fontId="2" fillId="0" borderId="11" xfId="60" applyNumberFormat="1" applyFont="1" applyFill="1" applyBorder="1" applyAlignment="1">
      <alignment horizontal="right" vertical="center" wrapText="1"/>
    </xf>
    <xf numFmtId="10" fontId="4" fillId="2" borderId="11" xfId="60" applyNumberFormat="1" applyFont="1" applyFill="1" applyBorder="1" applyAlignment="1">
      <alignment horizontal="right" vertical="center" wrapText="1"/>
    </xf>
    <xf numFmtId="177" fontId="4" fillId="0" borderId="5" xfId="6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3" fontId="4" fillId="3" borderId="1" xfId="60" applyNumberFormat="1" applyFont="1" applyFill="1" applyBorder="1" applyAlignment="1">
      <alignment horizontal="right" vertical="center"/>
    </xf>
    <xf numFmtId="10" fontId="4" fillId="3" borderId="1" xfId="60" applyNumberFormat="1" applyFont="1" applyFill="1" applyBorder="1" applyAlignment="1">
      <alignment horizontal="right" vertical="center"/>
    </xf>
    <xf numFmtId="0" fontId="4" fillId="0" borderId="12" xfId="60" applyFont="1" applyFill="1" applyBorder="1" applyAlignment="1">
      <alignment horizontal="center" vertical="center" wrapText="1"/>
    </xf>
    <xf numFmtId="0" fontId="4" fillId="0" borderId="13" xfId="6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77" fontId="4" fillId="4" borderId="1" xfId="92" applyNumberFormat="1" applyFont="1" applyFill="1" applyBorder="1" applyAlignment="1" applyProtection="1">
      <alignment horizontal="center" vertical="center" wrapText="1"/>
      <protection locked="0"/>
    </xf>
    <xf numFmtId="10" fontId="4" fillId="3" borderId="1" xfId="72" applyNumberFormat="1" applyFont="1" applyFill="1" applyBorder="1" applyAlignment="1">
      <alignment horizontal="right" vertical="center"/>
    </xf>
    <xf numFmtId="177" fontId="4" fillId="4" borderId="15" xfId="60" applyNumberFormat="1" applyFont="1" applyFill="1" applyBorder="1" applyAlignment="1" applyProtection="1">
      <alignment horizontal="center" vertical="center" wrapText="1"/>
      <protection locked="0"/>
    </xf>
    <xf numFmtId="177" fontId="4" fillId="4" borderId="16" xfId="60" applyNumberFormat="1" applyFont="1" applyFill="1" applyBorder="1" applyAlignment="1" applyProtection="1">
      <alignment horizontal="center" vertical="center" wrapText="1"/>
      <protection locked="0"/>
    </xf>
    <xf numFmtId="176" fontId="4" fillId="4" borderId="16" xfId="92" applyNumberFormat="1" applyFont="1" applyFill="1" applyBorder="1" applyAlignment="1" applyProtection="1">
      <alignment horizontal="right" vertical="center" wrapText="1"/>
      <protection locked="0"/>
    </xf>
    <xf numFmtId="10" fontId="4" fillId="4" borderId="16" xfId="72" applyNumberFormat="1" applyFont="1" applyFill="1" applyBorder="1" applyAlignment="1">
      <alignment horizontal="right" vertical="center"/>
    </xf>
    <xf numFmtId="176" fontId="4" fillId="4" borderId="16" xfId="60" applyNumberFormat="1" applyFont="1" applyFill="1" applyBorder="1" applyAlignment="1">
      <alignment horizontal="right" vertical="center"/>
    </xf>
    <xf numFmtId="10" fontId="4" fillId="4" borderId="16" xfId="60" applyNumberFormat="1" applyFont="1" applyFill="1" applyBorder="1" applyAlignment="1">
      <alignment horizontal="right" vertical="center"/>
    </xf>
    <xf numFmtId="0" fontId="2" fillId="5" borderId="17" xfId="60" applyFont="1" applyFill="1" applyBorder="1" applyAlignment="1" applyProtection="1">
      <alignment horizontal="left" vertical="top" wrapText="1"/>
      <protection locked="0"/>
    </xf>
    <xf numFmtId="0" fontId="2" fillId="5" borderId="17" xfId="60" applyFont="1" applyFill="1" applyBorder="1" applyAlignment="1" applyProtection="1">
      <alignment horizontal="left" vertical="top"/>
      <protection locked="0"/>
    </xf>
    <xf numFmtId="4" fontId="4" fillId="3" borderId="1" xfId="60" applyNumberFormat="1" applyFont="1" applyFill="1" applyBorder="1" applyAlignment="1">
      <alignment horizontal="right" vertical="center"/>
    </xf>
    <xf numFmtId="10" fontId="4" fillId="3" borderId="1" xfId="60" applyNumberFormat="1" applyFont="1" applyFill="1" applyBorder="1" applyAlignment="1">
      <alignment horizontal="right" vertical="center" wrapText="1"/>
    </xf>
    <xf numFmtId="10" fontId="4" fillId="3" borderId="1" xfId="72" applyNumberFormat="1" applyFont="1" applyFill="1" applyBorder="1" applyAlignment="1">
      <alignment horizontal="right" vertical="center" wrapText="1"/>
    </xf>
    <xf numFmtId="179" fontId="4" fillId="4" borderId="16" xfId="92" applyNumberFormat="1" applyFont="1" applyFill="1" applyBorder="1" applyAlignment="1" applyProtection="1">
      <alignment horizontal="right" vertical="center" wrapText="1"/>
      <protection locked="0"/>
    </xf>
    <xf numFmtId="10" fontId="4" fillId="4" borderId="16" xfId="60" applyNumberFormat="1" applyFont="1" applyFill="1" applyBorder="1" applyAlignment="1">
      <alignment horizontal="right" vertical="center" wrapText="1"/>
    </xf>
    <xf numFmtId="10" fontId="4" fillId="3" borderId="11" xfId="60" applyNumberFormat="1" applyFont="1" applyFill="1" applyBorder="1" applyAlignment="1">
      <alignment horizontal="right" vertical="center" wrapText="1"/>
    </xf>
    <xf numFmtId="10" fontId="4" fillId="4" borderId="18" xfId="6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ill="1">
      <alignment vertical="center"/>
    </xf>
    <xf numFmtId="177" fontId="4" fillId="6" borderId="1" xfId="60" applyNumberFormat="1" applyFont="1" applyFill="1" applyBorder="1" applyAlignment="1" applyProtection="1">
      <alignment horizontal="center" vertical="center" wrapText="1"/>
      <protection locked="0"/>
    </xf>
    <xf numFmtId="3" fontId="4" fillId="6" borderId="1" xfId="60" applyNumberFormat="1" applyFont="1" applyFill="1" applyBorder="1" applyAlignment="1">
      <alignment horizontal="right" vertical="center"/>
    </xf>
    <xf numFmtId="10" fontId="4" fillId="6" borderId="1" xfId="60" applyNumberFormat="1" applyFont="1" applyFill="1" applyBorder="1" applyAlignment="1">
      <alignment horizontal="right" vertical="center"/>
    </xf>
    <xf numFmtId="0" fontId="0" fillId="0" borderId="8" xfId="0" applyBorder="1" applyAlignment="1">
      <alignment horizontal="center" vertical="center" wrapText="1"/>
    </xf>
    <xf numFmtId="177" fontId="4" fillId="4" borderId="1" xfId="60" applyNumberFormat="1" applyFont="1" applyFill="1" applyBorder="1" applyAlignment="1" applyProtection="1">
      <alignment horizontal="center" vertical="center" wrapText="1"/>
      <protection locked="0"/>
    </xf>
    <xf numFmtId="3" fontId="4" fillId="4" borderId="1" xfId="60" applyNumberFormat="1" applyFont="1" applyFill="1" applyBorder="1" applyAlignment="1">
      <alignment horizontal="right" vertical="center"/>
    </xf>
    <xf numFmtId="10" fontId="4" fillId="4" borderId="1" xfId="60" applyNumberFormat="1" applyFont="1" applyFill="1" applyBorder="1" applyAlignment="1">
      <alignment horizontal="right" vertical="center"/>
    </xf>
    <xf numFmtId="177" fontId="4" fillId="7" borderId="1" xfId="92" applyNumberFormat="1" applyFont="1" applyFill="1" applyBorder="1" applyAlignment="1" applyProtection="1">
      <alignment horizontal="center" vertical="center" wrapText="1"/>
      <protection locked="0"/>
    </xf>
    <xf numFmtId="3" fontId="4" fillId="7" borderId="1" xfId="60" applyNumberFormat="1" applyFont="1" applyFill="1" applyBorder="1" applyAlignment="1">
      <alignment horizontal="right" vertical="center"/>
    </xf>
    <xf numFmtId="10" fontId="4" fillId="7" borderId="1" xfId="60" applyNumberFormat="1" applyFont="1" applyFill="1" applyBorder="1" applyAlignment="1">
      <alignment horizontal="right" vertical="center"/>
    </xf>
    <xf numFmtId="10" fontId="4" fillId="7" borderId="1" xfId="72" applyNumberFormat="1" applyFont="1" applyFill="1" applyBorder="1" applyAlignment="1">
      <alignment horizontal="right" vertical="center"/>
    </xf>
    <xf numFmtId="10" fontId="4" fillId="7" borderId="1" xfId="72" applyNumberFormat="1" applyFont="1" applyFill="1" applyBorder="1" applyAlignment="1">
      <alignment horizontal="right" vertical="center" wrapText="1"/>
    </xf>
    <xf numFmtId="4" fontId="4" fillId="6" borderId="1" xfId="60" applyNumberFormat="1" applyFont="1" applyFill="1" applyBorder="1" applyAlignment="1">
      <alignment horizontal="right" vertical="center"/>
    </xf>
    <xf numFmtId="4" fontId="4" fillId="4" borderId="1" xfId="60" applyNumberFormat="1" applyFont="1" applyFill="1" applyBorder="1" applyAlignment="1">
      <alignment horizontal="right" vertical="center"/>
    </xf>
    <xf numFmtId="4" fontId="4" fillId="7" borderId="1" xfId="60" applyNumberFormat="1" applyFont="1" applyFill="1" applyBorder="1" applyAlignment="1">
      <alignment horizontal="right" vertical="center"/>
    </xf>
    <xf numFmtId="177" fontId="4" fillId="4" borderId="1" xfId="60" applyNumberFormat="1" applyFont="1" applyFill="1" applyBorder="1" applyAlignment="1">
      <alignment horizontal="right" vertical="center"/>
    </xf>
    <xf numFmtId="178" fontId="4" fillId="6" borderId="1" xfId="60" applyNumberFormat="1" applyFont="1" applyFill="1" applyBorder="1" applyAlignment="1">
      <alignment horizontal="right" vertical="center"/>
    </xf>
    <xf numFmtId="178" fontId="4" fillId="7" borderId="1" xfId="60" applyNumberFormat="1" applyFont="1" applyFill="1" applyBorder="1" applyAlignment="1">
      <alignment horizontal="right" vertical="center"/>
    </xf>
    <xf numFmtId="10" fontId="4" fillId="6" borderId="11" xfId="60" applyNumberFormat="1" applyFont="1" applyFill="1" applyBorder="1" applyAlignment="1">
      <alignment horizontal="right" vertical="center" wrapText="1"/>
    </xf>
    <xf numFmtId="10" fontId="4" fillId="4" borderId="11" xfId="60" applyNumberFormat="1" applyFont="1" applyFill="1" applyBorder="1" applyAlignment="1">
      <alignment horizontal="right" vertical="center" wrapText="1"/>
    </xf>
    <xf numFmtId="10" fontId="4" fillId="7" borderId="11" xfId="60" applyNumberFormat="1" applyFont="1" applyFill="1" applyBorder="1" applyAlignment="1">
      <alignment horizontal="right" vertical="center" wrapText="1"/>
    </xf>
    <xf numFmtId="177" fontId="2" fillId="0" borderId="1" xfId="60" applyNumberFormat="1" applyFont="1" applyFill="1" applyBorder="1" applyAlignment="1">
      <alignment horizontal="center" vertical="center" wrapText="1"/>
    </xf>
    <xf numFmtId="10" fontId="4" fillId="4" borderId="1" xfId="72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10" fontId="4" fillId="4" borderId="1" xfId="72" applyNumberFormat="1" applyFont="1" applyFill="1" applyBorder="1" applyAlignment="1">
      <alignment horizontal="right" vertical="center" wrapText="1"/>
    </xf>
    <xf numFmtId="180" fontId="4" fillId="4" borderId="16" xfId="72" applyNumberFormat="1" applyFont="1" applyFill="1" applyBorder="1" applyAlignment="1">
      <alignment horizontal="right" vertical="center"/>
    </xf>
    <xf numFmtId="10" fontId="4" fillId="4" borderId="11" xfId="72" applyNumberFormat="1" applyFont="1" applyFill="1" applyBorder="1" applyAlignment="1">
      <alignment horizontal="right" vertical="center" wrapText="1"/>
    </xf>
  </cellXfs>
  <cellStyles count="102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20% - 强调文字颜色 2" xfId="43" builtinId="34"/>
    <cellStyle name="输出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适中 2" xfId="55"/>
    <cellStyle name="40% - 强调文字颜色 6 2" xfId="56"/>
    <cellStyle name="60% - 强调文字颜色 6" xfId="57" builtinId="52"/>
    <cellStyle name="20% - 强调文字颜色 2 2" xfId="58"/>
    <cellStyle name="20% - 强调文字颜色 3 2" xfId="59"/>
    <cellStyle name="常规 3" xfId="60"/>
    <cellStyle name="20% - 强调文字颜色 4 2" xfId="61"/>
    <cellStyle name="20% - 强调文字颜色 5 2" xfId="62"/>
    <cellStyle name="20% - 强调文字颜色 6 2" xfId="63"/>
    <cellStyle name="40% - 强调文字颜色 3 2" xfId="64"/>
    <cellStyle name="60% - 强调文字颜色 1 2" xfId="65"/>
    <cellStyle name="常规 5" xfId="66"/>
    <cellStyle name="60% - 强调文字颜色 2 2" xfId="67"/>
    <cellStyle name="60% - 强调文字颜色 3 2" xfId="68"/>
    <cellStyle name="60% - 强调文字颜色 4 2" xfId="69"/>
    <cellStyle name="60% - 强调文字颜色 5 2" xfId="70"/>
    <cellStyle name="60% - 强调文字颜色 6 2" xfId="71"/>
    <cellStyle name="百分比 2" xfId="72"/>
    <cellStyle name="百分比 2 2" xfId="73"/>
    <cellStyle name="百分比 3" xfId="74"/>
    <cellStyle name="标题 1 2" xfId="75"/>
    <cellStyle name="标题 2 2" xfId="76"/>
    <cellStyle name="标题 3 2" xfId="77"/>
    <cellStyle name="标题 4 2" xfId="78"/>
    <cellStyle name="标题 5" xfId="79"/>
    <cellStyle name="差 2" xfId="80"/>
    <cellStyle name="常规 2" xfId="81"/>
    <cellStyle name="常规 2 2" xfId="82"/>
    <cellStyle name="常规 2 2 2" xfId="83"/>
    <cellStyle name="常规 3 2" xfId="84"/>
    <cellStyle name="常规 4" xfId="85"/>
    <cellStyle name="好 2" xfId="86"/>
    <cellStyle name="汇总 2" xfId="87"/>
    <cellStyle name="检查单元格 2" xfId="88"/>
    <cellStyle name="解释性文本 2" xfId="89"/>
    <cellStyle name="警告文本 2" xfId="90"/>
    <cellStyle name="链接单元格 2" xfId="91"/>
    <cellStyle name="千位分隔 2" xfId="92"/>
    <cellStyle name="千位分隔 2 2" xfId="93"/>
    <cellStyle name="强调文字颜色 1 2" xfId="94"/>
    <cellStyle name="强调文字颜色 2 2" xfId="95"/>
    <cellStyle name="强调文字颜色 3 2" xfId="96"/>
    <cellStyle name="强调文字颜色 4 2" xfId="97"/>
    <cellStyle name="强调文字颜色 5 2" xfId="98"/>
    <cellStyle name="强调文字颜色 6 2" xfId="99"/>
    <cellStyle name="输入 2" xfId="100"/>
    <cellStyle name="注释 2" xfId="10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&#20840;&#22269;&#26399;&#36135;&#24066;&#22330;&#25104;&#20132;&#24773;&#20917;&#32479;&#35745;&#65288;&#21407;&#22987;&#25968;&#25454;&#27719;&#2463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交易所统计"/>
      <sheetName val="统计总表"/>
      <sheetName val="上期所raw"/>
      <sheetName val="上期能源raw"/>
      <sheetName val="郑商所raw"/>
      <sheetName val="大商所raw"/>
      <sheetName val="中金所raw"/>
      <sheetName val="2019以来累计对比"/>
    </sheetNames>
    <sheetDataSet>
      <sheetData sheetId="0"/>
      <sheetData sheetId="1"/>
      <sheetData sheetId="2">
        <row r="2">
          <cell r="B2" t="str">
            <v>上海期货交易所</v>
          </cell>
        </row>
        <row r="4">
          <cell r="B4" t="str">
            <v>每月品种成交情况汇总</v>
          </cell>
        </row>
        <row r="6">
          <cell r="B6" t="str">
            <v>1.合约单位：铜、铝、锌、铅、不锈钢为5吨/手，锡、镍为1吨/手，天然橡胶、沥青、螺纹钢、线材、热轧卷板为10吨/手，燃料油（20180716开始）为10吨/手，黄金为1000克/手，白银为15千克/手
2.单位  成交量、持仓量：手；成交金额：亿元
3.成交量、持仓量、成交金额均单边计算</v>
          </cell>
        </row>
        <row r="8">
          <cell r="B8" t="str">
            <v>成交额</v>
          </cell>
        </row>
        <row r="10">
          <cell r="B10" t="str">
            <v>品种</v>
          </cell>
          <cell r="C10" t="str">
            <v>当月</v>
          </cell>
          <cell r="D10" t="str">
            <v>去年同期</v>
          </cell>
          <cell r="E10" t="str">
            <v>同比</v>
          </cell>
          <cell r="F10" t="str">
            <v>上月</v>
          </cell>
          <cell r="G10" t="str">
            <v>环比</v>
          </cell>
          <cell r="H10" t="str">
            <v>当年累计</v>
          </cell>
          <cell r="I10" t="str">
            <v>去年同期</v>
          </cell>
          <cell r="J10" t="str">
            <v>同比</v>
          </cell>
          <cell r="K10" t="str">
            <v>当月</v>
          </cell>
          <cell r="L10" t="str">
            <v>去年同期</v>
          </cell>
          <cell r="M10" t="str">
            <v>同比</v>
          </cell>
          <cell r="N10" t="str">
            <v>上月</v>
          </cell>
          <cell r="O10" t="str">
            <v>环比</v>
          </cell>
          <cell r="P10" t="str">
            <v>当年累计</v>
          </cell>
          <cell r="Q10" t="str">
            <v>去年同期</v>
          </cell>
          <cell r="R10" t="str">
            <v>同比</v>
          </cell>
          <cell r="S10" t="str">
            <v>当月</v>
          </cell>
          <cell r="T10" t="str">
            <v>去年同期</v>
          </cell>
          <cell r="U10" t="str">
            <v>同比</v>
          </cell>
          <cell r="V10" t="str">
            <v>上月</v>
          </cell>
          <cell r="W10" t="str">
            <v>环比</v>
          </cell>
        </row>
        <row r="11">
          <cell r="B11" t="str">
            <v>纸浆</v>
          </cell>
          <cell r="C11">
            <v>5009.2812014</v>
          </cell>
          <cell r="D11">
            <v>14417.8457704</v>
          </cell>
          <cell r="E11">
            <v>-0.652563823946285</v>
          </cell>
          <cell r="F11">
            <v>2956.5546636</v>
          </cell>
          <cell r="G11">
            <v>0.694296832415245</v>
          </cell>
          <cell r="H11">
            <v>12343.1984912</v>
          </cell>
          <cell r="I11">
            <v>29083.9728884</v>
          </cell>
          <cell r="J11">
            <v>-0.57560136166531</v>
          </cell>
          <cell r="K11">
            <v>7214618</v>
          </cell>
          <cell r="L11">
            <v>20058189</v>
          </cell>
          <cell r="M11">
            <v>-0.640315583824641</v>
          </cell>
          <cell r="N11">
            <v>4562470</v>
          </cell>
          <cell r="O11">
            <v>0.581296534552556</v>
          </cell>
          <cell r="P11">
            <v>18902733</v>
          </cell>
          <cell r="Q11">
            <v>42535625</v>
          </cell>
          <cell r="R11">
            <v>-0.555602321583379</v>
          </cell>
          <cell r="S11">
            <v>290072</v>
          </cell>
          <cell r="T11">
            <v>454329</v>
          </cell>
          <cell r="U11">
            <v>-0.361537564188066</v>
          </cell>
          <cell r="V11">
            <v>380185</v>
          </cell>
          <cell r="W11">
            <v>-0.237024080381919</v>
          </cell>
        </row>
        <row r="12">
          <cell r="B12" t="str">
            <v>锌</v>
          </cell>
          <cell r="C12">
            <v>7775.321027</v>
          </cell>
          <cell r="D12">
            <v>7003.75867775</v>
          </cell>
          <cell r="E12">
            <v>0.110164039732144</v>
          </cell>
          <cell r="F12">
            <v>5058.4529075</v>
          </cell>
          <cell r="G12">
            <v>0.537094674830676</v>
          </cell>
          <cell r="H12">
            <v>19324.7100275</v>
          </cell>
          <cell r="I12">
            <v>15687.80683225</v>
          </cell>
          <cell r="J12">
            <v>0.231829932261372</v>
          </cell>
          <cell r="K12">
            <v>5981802</v>
          </cell>
          <cell r="L12">
            <v>6492899</v>
          </cell>
          <cell r="M12">
            <v>-0.0787163022249383</v>
          </cell>
          <cell r="N12">
            <v>4022792</v>
          </cell>
          <cell r="O12">
            <v>0.486977701059364</v>
          </cell>
          <cell r="P12">
            <v>15252628</v>
          </cell>
          <cell r="Q12">
            <v>14896436</v>
          </cell>
          <cell r="R12">
            <v>0.0239112227918141</v>
          </cell>
          <cell r="S12">
            <v>202685</v>
          </cell>
          <cell r="T12">
            <v>145449</v>
          </cell>
          <cell r="U12">
            <v>0.393512502664164</v>
          </cell>
          <cell r="V12">
            <v>246584</v>
          </cell>
          <cell r="W12">
            <v>-0.17802858255199</v>
          </cell>
        </row>
        <row r="13">
          <cell r="B13" t="str">
            <v>线材</v>
          </cell>
          <cell r="C13">
            <v>1.0894317</v>
          </cell>
          <cell r="D13">
            <v>0.6154402</v>
          </cell>
          <cell r="E13">
            <v>0.77016662219985</v>
          </cell>
          <cell r="F13">
            <v>0.2428192</v>
          </cell>
          <cell r="G13">
            <v>3.48659619997101</v>
          </cell>
          <cell r="H13">
            <v>3.1419979</v>
          </cell>
          <cell r="I13">
            <v>1.2017302</v>
          </cell>
          <cell r="J13">
            <v>1.61456182094783</v>
          </cell>
          <cell r="K13">
            <v>1979</v>
          </cell>
          <cell r="L13">
            <v>1213</v>
          </cell>
          <cell r="M13">
            <v>0.631492168178071</v>
          </cell>
          <cell r="N13">
            <v>476</v>
          </cell>
          <cell r="O13">
            <v>3.15756302521008</v>
          </cell>
          <cell r="P13">
            <v>6083</v>
          </cell>
          <cell r="Q13">
            <v>2449</v>
          </cell>
          <cell r="R13">
            <v>1.48387096774194</v>
          </cell>
          <cell r="S13">
            <v>41</v>
          </cell>
          <cell r="T13">
            <v>40</v>
          </cell>
          <cell r="U13">
            <v>0.025</v>
          </cell>
          <cell r="V13">
            <v>20</v>
          </cell>
          <cell r="W13">
            <v>1.05</v>
          </cell>
        </row>
        <row r="14">
          <cell r="B14" t="str">
            <v>锡</v>
          </cell>
          <cell r="C14">
            <v>5968.4511168</v>
          </cell>
          <cell r="D14">
            <v>4981.7704162</v>
          </cell>
          <cell r="E14">
            <v>0.198058243991224</v>
          </cell>
          <cell r="F14">
            <v>4572.5792575</v>
          </cell>
          <cell r="G14">
            <v>0.305270128890707</v>
          </cell>
          <cell r="H14">
            <v>18679.1744969</v>
          </cell>
          <cell r="I14">
            <v>13601.6713126</v>
          </cell>
          <cell r="J14">
            <v>0.373299947308418</v>
          </cell>
          <cell r="K14">
            <v>1730281</v>
          </cell>
          <cell r="L14">
            <v>2823707</v>
          </cell>
          <cell r="M14">
            <v>-0.387230686469949</v>
          </cell>
          <cell r="N14">
            <v>1375615</v>
          </cell>
          <cell r="O14">
            <v>0.257823591629926</v>
          </cell>
          <cell r="P14">
            <v>5708474</v>
          </cell>
          <cell r="Q14">
            <v>7829918</v>
          </cell>
          <cell r="R14">
            <v>-0.270940768472927</v>
          </cell>
          <cell r="S14">
            <v>49715</v>
          </cell>
          <cell r="T14">
            <v>54441</v>
          </cell>
          <cell r="U14">
            <v>-0.0868095736669055</v>
          </cell>
          <cell r="V14">
            <v>59400</v>
          </cell>
          <cell r="W14">
            <v>-0.163047138047138</v>
          </cell>
        </row>
        <row r="15">
          <cell r="B15" t="str">
            <v>铜</v>
          </cell>
          <cell r="C15">
            <v>14269.549544</v>
          </cell>
          <cell r="D15">
            <v>25990.0337225</v>
          </cell>
          <cell r="E15">
            <v>-0.450960714543182</v>
          </cell>
          <cell r="F15">
            <v>9461.2471255</v>
          </cell>
          <cell r="G15">
            <v>0.508210213169534</v>
          </cell>
          <cell r="H15">
            <v>35295.4633475</v>
          </cell>
          <cell r="I15">
            <v>59786.101139</v>
          </cell>
          <cell r="J15">
            <v>-0.409637646960125</v>
          </cell>
          <cell r="K15">
            <v>3918307</v>
          </cell>
          <cell r="L15">
            <v>7802051</v>
          </cell>
          <cell r="M15">
            <v>-0.497785005506885</v>
          </cell>
          <cell r="N15">
            <v>2653153</v>
          </cell>
          <cell r="O15">
            <v>0.476849243145797</v>
          </cell>
          <cell r="P15">
            <v>9853878</v>
          </cell>
          <cell r="Q15">
            <v>18744374</v>
          </cell>
          <cell r="R15">
            <v>-0.474302102593557</v>
          </cell>
          <cell r="S15">
            <v>355965</v>
          </cell>
          <cell r="T15">
            <v>346926</v>
          </cell>
          <cell r="U15">
            <v>0.026054547655696</v>
          </cell>
          <cell r="V15">
            <v>321192</v>
          </cell>
          <cell r="W15">
            <v>0.108262347754614</v>
          </cell>
        </row>
        <row r="16">
          <cell r="B16" t="str">
            <v>天然橡胶</v>
          </cell>
          <cell r="C16">
            <v>10908.954039</v>
          </cell>
          <cell r="D16">
            <v>24566.3541855</v>
          </cell>
          <cell r="E16">
            <v>-0.555939234750638</v>
          </cell>
          <cell r="F16">
            <v>6175.144555</v>
          </cell>
          <cell r="G16">
            <v>0.766590877644645</v>
          </cell>
          <cell r="H16">
            <v>25911.32676</v>
          </cell>
          <cell r="I16">
            <v>56072.0465075</v>
          </cell>
          <cell r="J16">
            <v>-0.537892258729415</v>
          </cell>
          <cell r="K16">
            <v>7949247</v>
          </cell>
          <cell r="L16">
            <v>16341393</v>
          </cell>
          <cell r="M16">
            <v>-0.513551445706006</v>
          </cell>
          <cell r="N16">
            <v>4309182</v>
          </cell>
          <cell r="O16">
            <v>0.844722965982871</v>
          </cell>
          <cell r="P16">
            <v>18229191</v>
          </cell>
          <cell r="Q16">
            <v>37396777</v>
          </cell>
          <cell r="R16">
            <v>-0.512546468910944</v>
          </cell>
          <cell r="S16">
            <v>332110</v>
          </cell>
          <cell r="T16">
            <v>303241</v>
          </cell>
          <cell r="U16">
            <v>0.0952015063926052</v>
          </cell>
          <cell r="V16">
            <v>374653</v>
          </cell>
          <cell r="W16">
            <v>-0.113553074444886</v>
          </cell>
        </row>
        <row r="17">
          <cell r="B17" t="str">
            <v>石油沥青</v>
          </cell>
          <cell r="C17">
            <v>7217.8787714</v>
          </cell>
          <cell r="D17">
            <v>3955.2417586</v>
          </cell>
          <cell r="E17">
            <v>0.824889402956457</v>
          </cell>
          <cell r="F17">
            <v>3120.5290284</v>
          </cell>
          <cell r="G17">
            <v>1.3130304848024</v>
          </cell>
          <cell r="H17">
            <v>13866.973351</v>
          </cell>
          <cell r="I17">
            <v>9886.8283112</v>
          </cell>
          <cell r="J17">
            <v>0.402570461883232</v>
          </cell>
          <cell r="K17">
            <v>18796373</v>
          </cell>
          <cell r="L17">
            <v>13116284</v>
          </cell>
          <cell r="M17">
            <v>0.433056268071048</v>
          </cell>
          <cell r="N17">
            <v>8683263</v>
          </cell>
          <cell r="O17">
            <v>1.16466701515317</v>
          </cell>
          <cell r="P17">
            <v>37655216</v>
          </cell>
          <cell r="Q17">
            <v>34353155</v>
          </cell>
          <cell r="R17">
            <v>0.0961210404109899</v>
          </cell>
          <cell r="S17">
            <v>586210</v>
          </cell>
          <cell r="T17">
            <v>492147</v>
          </cell>
          <cell r="U17">
            <v>0.19112785407612</v>
          </cell>
          <cell r="V17">
            <v>715286</v>
          </cell>
          <cell r="W17">
            <v>-0.180453692648815</v>
          </cell>
        </row>
        <row r="18">
          <cell r="B18" t="str">
            <v>热轧卷板</v>
          </cell>
          <cell r="C18">
            <v>8255.6043776</v>
          </cell>
          <cell r="D18">
            <v>11516.4120234</v>
          </cell>
          <cell r="E18">
            <v>-0.283144406363234</v>
          </cell>
          <cell r="F18">
            <v>4116.6900112</v>
          </cell>
          <cell r="G18">
            <v>1.00539859817949</v>
          </cell>
          <cell r="H18">
            <v>16456.0067134</v>
          </cell>
          <cell r="I18">
            <v>22096.8452942</v>
          </cell>
          <cell r="J18">
            <v>-0.255278004877946</v>
          </cell>
          <cell r="K18">
            <v>16085207</v>
          </cell>
          <cell r="L18">
            <v>22866359</v>
          </cell>
          <cell r="M18">
            <v>-0.296555826837145</v>
          </cell>
          <cell r="N18">
            <v>8388643</v>
          </cell>
          <cell r="O18">
            <v>0.917498098321743</v>
          </cell>
          <cell r="P18">
            <v>33124412</v>
          </cell>
          <cell r="Q18">
            <v>46292227</v>
          </cell>
          <cell r="R18">
            <v>-0.284449806227728</v>
          </cell>
          <cell r="S18">
            <v>997547</v>
          </cell>
          <cell r="T18">
            <v>989456</v>
          </cell>
          <cell r="U18">
            <v>0.00817722061415566</v>
          </cell>
          <cell r="V18">
            <v>915759</v>
          </cell>
          <cell r="W18">
            <v>0.0893117075562457</v>
          </cell>
        </row>
        <row r="19">
          <cell r="B19" t="str">
            <v>燃料油</v>
          </cell>
          <cell r="C19">
            <v>7272.4712064</v>
          </cell>
          <cell r="D19">
            <v>8021.1363222</v>
          </cell>
          <cell r="E19">
            <v>-0.0933365405756699</v>
          </cell>
          <cell r="F19">
            <v>2514.3116896</v>
          </cell>
          <cell r="G19">
            <v>1.89243025694916</v>
          </cell>
          <cell r="H19">
            <v>12184.1649341</v>
          </cell>
          <cell r="I19">
            <v>18801.1545266</v>
          </cell>
          <cell r="J19">
            <v>-0.351945918168921</v>
          </cell>
          <cell r="K19">
            <v>18712806</v>
          </cell>
          <cell r="L19">
            <v>32697222</v>
          </cell>
          <cell r="M19">
            <v>-0.427694316049235</v>
          </cell>
          <cell r="N19">
            <v>7708637</v>
          </cell>
          <cell r="O19">
            <v>1.42751163402817</v>
          </cell>
          <cell r="P19">
            <v>34363617</v>
          </cell>
          <cell r="Q19">
            <v>81246101</v>
          </cell>
          <cell r="R19">
            <v>-0.577042878648417</v>
          </cell>
          <cell r="S19">
            <v>383149</v>
          </cell>
          <cell r="T19">
            <v>317959</v>
          </cell>
          <cell r="U19">
            <v>0.205026434225796</v>
          </cell>
          <cell r="V19">
            <v>483294</v>
          </cell>
          <cell r="W19">
            <v>-0.207213414608913</v>
          </cell>
        </row>
        <row r="20">
          <cell r="B20" t="str">
            <v>铅</v>
          </cell>
          <cell r="C20">
            <v>1684.86955825</v>
          </cell>
          <cell r="D20">
            <v>1820.86334625</v>
          </cell>
          <cell r="E20">
            <v>-0.0746864328287316</v>
          </cell>
          <cell r="F20">
            <v>1150.879023</v>
          </cell>
          <cell r="G20">
            <v>0.463984940709098</v>
          </cell>
          <cell r="H20">
            <v>4324.4164325</v>
          </cell>
          <cell r="I20">
            <v>4313.55411125</v>
          </cell>
          <cell r="J20">
            <v>0.00251818360680128</v>
          </cell>
          <cell r="K20">
            <v>2177978</v>
          </cell>
          <cell r="L20">
            <v>2420358</v>
          </cell>
          <cell r="M20">
            <v>-0.100142210367227</v>
          </cell>
          <cell r="N20">
            <v>1503774</v>
          </cell>
          <cell r="O20">
            <v>0.448341306605913</v>
          </cell>
          <cell r="P20">
            <v>5606912</v>
          </cell>
          <cell r="Q20">
            <v>5687352</v>
          </cell>
          <cell r="R20">
            <v>-0.01414366474943</v>
          </cell>
          <cell r="S20">
            <v>92961</v>
          </cell>
          <cell r="T20">
            <v>73522</v>
          </cell>
          <cell r="U20">
            <v>0.264397051222763</v>
          </cell>
          <cell r="V20">
            <v>101224</v>
          </cell>
          <cell r="W20">
            <v>-0.0816308385363155</v>
          </cell>
        </row>
        <row r="21">
          <cell r="B21" t="str">
            <v>镍</v>
          </cell>
          <cell r="C21">
            <v>12538.7887999</v>
          </cell>
          <cell r="D21">
            <v>26583.1019524</v>
          </cell>
          <cell r="E21">
            <v>-0.528317318936214</v>
          </cell>
          <cell r="F21">
            <v>11144.5331408</v>
          </cell>
          <cell r="G21">
            <v>0.125106690561639</v>
          </cell>
          <cell r="H21">
            <v>39833.8430119</v>
          </cell>
          <cell r="I21">
            <v>68786.9519676</v>
          </cell>
          <cell r="J21">
            <v>-0.420909898280381</v>
          </cell>
          <cell r="K21">
            <v>5983340</v>
          </cell>
          <cell r="L21">
            <v>21412314</v>
          </cell>
          <cell r="M21">
            <v>-0.720565465273861</v>
          </cell>
          <cell r="N21">
            <v>6393765</v>
          </cell>
          <cell r="O21">
            <v>-0.0641914427571235</v>
          </cell>
          <cell r="P21">
            <v>22217036</v>
          </cell>
          <cell r="Q21">
            <v>52870468</v>
          </cell>
          <cell r="R21">
            <v>-0.579783632707772</v>
          </cell>
          <cell r="S21">
            <v>89620</v>
          </cell>
          <cell r="T21">
            <v>235858</v>
          </cell>
          <cell r="U21">
            <v>-0.620025608628921</v>
          </cell>
          <cell r="V21">
            <v>276987</v>
          </cell>
          <cell r="W21">
            <v>-0.676446909060714</v>
          </cell>
        </row>
        <row r="22">
          <cell r="B22" t="str">
            <v>螺纹钢</v>
          </cell>
          <cell r="C22">
            <v>21968.7811348</v>
          </cell>
          <cell r="D22">
            <v>31482.2047499</v>
          </cell>
          <cell r="E22">
            <v>-0.302184160565509</v>
          </cell>
          <cell r="F22">
            <v>14465.7884285</v>
          </cell>
          <cell r="G22">
            <v>0.518671536182422</v>
          </cell>
          <cell r="H22">
            <v>49130.0718766</v>
          </cell>
          <cell r="I22">
            <v>61139.4178677</v>
          </cell>
          <cell r="J22">
            <v>-0.196425586142922</v>
          </cell>
          <cell r="K22">
            <v>44973011</v>
          </cell>
          <cell r="L22">
            <v>66165072</v>
          </cell>
          <cell r="M22">
            <v>-0.320290757032653</v>
          </cell>
          <cell r="N22">
            <v>30423132</v>
          </cell>
          <cell r="O22">
            <v>0.478250529892846</v>
          </cell>
          <cell r="P22">
            <v>103036944</v>
          </cell>
          <cell r="Q22">
            <v>133995641</v>
          </cell>
          <cell r="R22">
            <v>-0.23104256801906</v>
          </cell>
          <cell r="S22">
            <v>2442275</v>
          </cell>
          <cell r="T22">
            <v>1767471</v>
          </cell>
          <cell r="U22">
            <v>0.381790705476922</v>
          </cell>
          <cell r="V22">
            <v>2992648</v>
          </cell>
          <cell r="W22">
            <v>-0.18390836476592</v>
          </cell>
        </row>
        <row r="23">
          <cell r="B23" t="str">
            <v>铝</v>
          </cell>
          <cell r="C23">
            <v>13405.2652955</v>
          </cell>
          <cell r="D23">
            <v>10769.30566175</v>
          </cell>
          <cell r="E23">
            <v>0.244765978099433</v>
          </cell>
          <cell r="F23">
            <v>9623.002998</v>
          </cell>
          <cell r="G23">
            <v>0.393043865650472</v>
          </cell>
          <cell r="H23">
            <v>32636.66002575</v>
          </cell>
          <cell r="I23">
            <v>20498.198244</v>
          </cell>
          <cell r="J23">
            <v>0.592172133241176</v>
          </cell>
          <cell r="K23">
            <v>11794703</v>
          </cell>
          <cell r="L23">
            <v>12442224</v>
          </cell>
          <cell r="M23">
            <v>-0.0520422233195609</v>
          </cell>
          <cell r="N23">
            <v>8471245</v>
          </cell>
          <cell r="O23">
            <v>0.392322261957953</v>
          </cell>
          <cell r="P23">
            <v>29316551</v>
          </cell>
          <cell r="Q23">
            <v>24872416</v>
          </cell>
          <cell r="R23">
            <v>0.178677254352774</v>
          </cell>
          <cell r="S23">
            <v>426593</v>
          </cell>
          <cell r="T23">
            <v>454211</v>
          </cell>
          <cell r="U23">
            <v>-0.0608043398332493</v>
          </cell>
          <cell r="V23">
            <v>469856</v>
          </cell>
          <cell r="W23">
            <v>-0.0920771470407955</v>
          </cell>
        </row>
        <row r="24">
          <cell r="B24" t="str">
            <v>黄金</v>
          </cell>
          <cell r="C24">
            <v>20239.4300988</v>
          </cell>
          <cell r="D24">
            <v>17484.9195672</v>
          </cell>
          <cell r="E24">
            <v>0.157536357031187</v>
          </cell>
          <cell r="F24">
            <v>10757.8378458</v>
          </cell>
          <cell r="G24">
            <v>0.88136597603595</v>
          </cell>
          <cell r="H24">
            <v>41976.73668</v>
          </cell>
          <cell r="I24">
            <v>45094.7604584</v>
          </cell>
          <cell r="J24">
            <v>-0.0691438150841578</v>
          </cell>
          <cell r="K24">
            <v>5066592</v>
          </cell>
          <cell r="L24">
            <v>4809351</v>
          </cell>
          <cell r="M24">
            <v>0.0534876743244567</v>
          </cell>
          <cell r="N24">
            <v>2795241</v>
          </cell>
          <cell r="O24">
            <v>0.812577877900331</v>
          </cell>
          <cell r="P24">
            <v>10798165</v>
          </cell>
          <cell r="Q24">
            <v>11948410</v>
          </cell>
          <cell r="R24">
            <v>-0.0962676205453278</v>
          </cell>
          <cell r="S24">
            <v>224591</v>
          </cell>
          <cell r="T24">
            <v>206426</v>
          </cell>
          <cell r="U24">
            <v>0.0879976359567109</v>
          </cell>
          <cell r="V24">
            <v>226569</v>
          </cell>
          <cell r="W24">
            <v>-0.00873023229126668</v>
          </cell>
        </row>
        <row r="25">
          <cell r="B25" t="str">
            <v>不锈钢</v>
          </cell>
          <cell r="C25">
            <v>5162.4695215</v>
          </cell>
          <cell r="D25">
            <v>2663.7397985</v>
          </cell>
          <cell r="E25">
            <v>0.938053230427041</v>
          </cell>
          <cell r="F25">
            <v>1949.8525995</v>
          </cell>
          <cell r="G25">
            <v>1.64762040106201</v>
          </cell>
          <cell r="H25">
            <v>9866.92883375</v>
          </cell>
          <cell r="I25">
            <v>6869.93641625</v>
          </cell>
          <cell r="J25">
            <v>0.436247475363961</v>
          </cell>
          <cell r="K25">
            <v>5037262</v>
          </cell>
          <cell r="L25">
            <v>3730188</v>
          </cell>
          <cell r="M25">
            <v>0.350404322784803</v>
          </cell>
          <cell r="N25">
            <v>2117955</v>
          </cell>
          <cell r="O25">
            <v>1.3783612021974</v>
          </cell>
          <cell r="P25">
            <v>10277287</v>
          </cell>
          <cell r="Q25">
            <v>9541526</v>
          </cell>
          <cell r="R25">
            <v>0.0771114599488593</v>
          </cell>
          <cell r="S25">
            <v>108508</v>
          </cell>
          <cell r="T25">
            <v>154930</v>
          </cell>
          <cell r="U25">
            <v>-0.299632091912477</v>
          </cell>
          <cell r="V25">
            <v>98482</v>
          </cell>
          <cell r="W25">
            <v>0.101805406064052</v>
          </cell>
        </row>
        <row r="26">
          <cell r="B26" t="str">
            <v>白银</v>
          </cell>
          <cell r="C26">
            <v>13302.2157747</v>
          </cell>
          <cell r="D26">
            <v>22286.6454579</v>
          </cell>
          <cell r="E26">
            <v>-0.403130641628943</v>
          </cell>
          <cell r="F26">
            <v>7173.3830973</v>
          </cell>
          <cell r="G26">
            <v>0.854385245325436</v>
          </cell>
          <cell r="H26">
            <v>29513.4645117</v>
          </cell>
          <cell r="I26">
            <v>68984.6615895</v>
          </cell>
          <cell r="J26">
            <v>-0.572173526235111</v>
          </cell>
          <cell r="K26">
            <v>17290284</v>
          </cell>
          <cell r="L26">
            <v>27781395</v>
          </cell>
          <cell r="M26">
            <v>-0.377630820914501</v>
          </cell>
          <cell r="N26">
            <v>9749429</v>
          </cell>
          <cell r="O26">
            <v>0.773466323002096</v>
          </cell>
          <cell r="P26">
            <v>39547356</v>
          </cell>
          <cell r="Q26">
            <v>84239826</v>
          </cell>
          <cell r="R26">
            <v>-0.530538489004001</v>
          </cell>
          <cell r="S26">
            <v>647976</v>
          </cell>
          <cell r="T26">
            <v>607911</v>
          </cell>
          <cell r="U26">
            <v>0.0659060290075356</v>
          </cell>
          <cell r="V26">
            <v>637645</v>
          </cell>
          <cell r="W26">
            <v>0.0162018050796289</v>
          </cell>
        </row>
        <row r="27">
          <cell r="B27" t="str">
            <v>商品期货小计</v>
          </cell>
          <cell r="C27">
            <v>154980.42089875</v>
          </cell>
          <cell r="D27">
            <v>213543.94885065</v>
          </cell>
          <cell r="E27">
            <v>-0.274245785315409</v>
          </cell>
          <cell r="F27">
            <v>94241.0291904</v>
          </cell>
          <cell r="G27">
            <v>0.644511124614684</v>
          </cell>
          <cell r="H27">
            <v>361346.2814917</v>
          </cell>
          <cell r="I27">
            <v>500705.10919665</v>
          </cell>
          <cell r="J27">
            <v>-0.278325156155372</v>
          </cell>
          <cell r="K27">
            <v>172713790</v>
          </cell>
          <cell r="L27">
            <v>260960219</v>
          </cell>
          <cell r="M27">
            <v>-0.338160464986428</v>
          </cell>
          <cell r="N27">
            <v>103158772</v>
          </cell>
          <cell r="O27">
            <v>0.674252093656175</v>
          </cell>
          <cell r="P27">
            <v>393896483</v>
          </cell>
          <cell r="Q27">
            <v>606452701</v>
          </cell>
          <cell r="R27">
            <v>-0.350491007212119</v>
          </cell>
          <cell r="S27">
            <v>7230018</v>
          </cell>
          <cell r="T27">
            <v>6604317</v>
          </cell>
          <cell r="U27">
            <v>0.0947412124524005</v>
          </cell>
          <cell r="V27">
            <v>8299784</v>
          </cell>
          <cell r="W27">
            <v>-0.128890824146749</v>
          </cell>
        </row>
        <row r="28">
          <cell r="B28" t="str">
            <v>锌期权</v>
          </cell>
          <cell r="C28">
            <v>6.05208845</v>
          </cell>
          <cell r="D28">
            <v>4.4164342</v>
          </cell>
          <cell r="E28">
            <v>0.370356304640517</v>
          </cell>
          <cell r="F28">
            <v>3.8152459</v>
          </cell>
          <cell r="G28">
            <v>0.586290532413651</v>
          </cell>
          <cell r="H28">
            <v>15.55481325</v>
          </cell>
          <cell r="I28">
            <v>10.6507336</v>
          </cell>
          <cell r="J28">
            <v>0.460445245762226</v>
          </cell>
          <cell r="K28">
            <v>444244</v>
          </cell>
          <cell r="L28">
            <v>303340</v>
          </cell>
          <cell r="M28">
            <v>0.464508472341267</v>
          </cell>
          <cell r="N28">
            <v>341789</v>
          </cell>
          <cell r="O28">
            <v>0.299760963635459</v>
          </cell>
          <cell r="P28">
            <v>1212479</v>
          </cell>
          <cell r="Q28">
            <v>827840</v>
          </cell>
          <cell r="R28">
            <v>0.464629638577503</v>
          </cell>
          <cell r="S28">
            <v>17345</v>
          </cell>
          <cell r="T28">
            <v>10248</v>
          </cell>
          <cell r="U28">
            <v>0.692525370804059</v>
          </cell>
          <cell r="V28">
            <v>19682</v>
          </cell>
          <cell r="W28">
            <v>-0.118737933136876</v>
          </cell>
        </row>
        <row r="29">
          <cell r="B29" t="str">
            <v>铜期权</v>
          </cell>
          <cell r="C29">
            <v>22.3638301</v>
          </cell>
          <cell r="D29">
            <v>28.759552</v>
          </cell>
          <cell r="E29">
            <v>-0.222386005873805</v>
          </cell>
          <cell r="F29">
            <v>15.1663187</v>
          </cell>
          <cell r="G29">
            <v>0.474572079248209</v>
          </cell>
          <cell r="H29">
            <v>54.3205083</v>
          </cell>
          <cell r="I29">
            <v>68.6563962</v>
          </cell>
          <cell r="J29">
            <v>-0.20880629764252</v>
          </cell>
          <cell r="K29">
            <v>736952</v>
          </cell>
          <cell r="L29">
            <v>750688</v>
          </cell>
          <cell r="M29">
            <v>-0.0182978814101198</v>
          </cell>
          <cell r="N29">
            <v>670020</v>
          </cell>
          <cell r="O29">
            <v>0.0998955255067013</v>
          </cell>
          <cell r="P29">
            <v>2247639</v>
          </cell>
          <cell r="Q29">
            <v>1782361</v>
          </cell>
          <cell r="R29">
            <v>0.261045882399806</v>
          </cell>
          <cell r="S29">
            <v>35279</v>
          </cell>
          <cell r="T29">
            <v>41956</v>
          </cell>
          <cell r="U29">
            <v>-0.159142911621699</v>
          </cell>
          <cell r="V29">
            <v>33673</v>
          </cell>
          <cell r="W29">
            <v>0.0476939981587622</v>
          </cell>
        </row>
        <row r="30">
          <cell r="B30" t="str">
            <v>天胶期权</v>
          </cell>
          <cell r="C30">
            <v>12.5892793</v>
          </cell>
          <cell r="D30">
            <v>22.5113204</v>
          </cell>
          <cell r="E30">
            <v>-0.440757846438897</v>
          </cell>
          <cell r="F30">
            <v>9.0162577</v>
          </cell>
          <cell r="G30">
            <v>0.396286543584485</v>
          </cell>
          <cell r="H30">
            <v>33.254155</v>
          </cell>
          <cell r="I30">
            <v>68.7466121</v>
          </cell>
          <cell r="J30">
            <v>-0.5162793629506</v>
          </cell>
          <cell r="K30">
            <v>500844</v>
          </cell>
          <cell r="L30">
            <v>502380</v>
          </cell>
          <cell r="M30">
            <v>-0.00305744655440105</v>
          </cell>
          <cell r="N30">
            <v>289929</v>
          </cell>
          <cell r="O30">
            <v>0.72747120846828</v>
          </cell>
          <cell r="P30">
            <v>1064501</v>
          </cell>
          <cell r="Q30">
            <v>1222860</v>
          </cell>
          <cell r="R30">
            <v>-0.129498879675515</v>
          </cell>
          <cell r="S30">
            <v>78300</v>
          </cell>
          <cell r="T30">
            <v>53405</v>
          </cell>
          <cell r="U30">
            <v>0.466154854414381</v>
          </cell>
          <cell r="V30">
            <v>62071</v>
          </cell>
          <cell r="W30">
            <v>0.261458652188623</v>
          </cell>
        </row>
        <row r="31">
          <cell r="B31" t="str">
            <v>铝期权</v>
          </cell>
          <cell r="C31">
            <v>11.17677795</v>
          </cell>
          <cell r="D31">
            <v>5.7736055</v>
          </cell>
          <cell r="E31">
            <v>0.935840256144969</v>
          </cell>
          <cell r="F31">
            <v>7.48461135</v>
          </cell>
          <cell r="G31">
            <v>0.493301044950049</v>
          </cell>
          <cell r="H31">
            <v>27.73626415</v>
          </cell>
          <cell r="I31">
            <v>11.2544591</v>
          </cell>
          <cell r="J31">
            <v>1.46446887438598</v>
          </cell>
          <cell r="K31">
            <v>779133</v>
          </cell>
          <cell r="L31">
            <v>457473</v>
          </cell>
          <cell r="M31">
            <v>0.703123463024047</v>
          </cell>
          <cell r="N31">
            <v>700888</v>
          </cell>
          <cell r="O31">
            <v>0.111636951980916</v>
          </cell>
          <cell r="P31">
            <v>2322945</v>
          </cell>
          <cell r="Q31">
            <v>1056837</v>
          </cell>
          <cell r="R31">
            <v>1.19801634499928</v>
          </cell>
          <cell r="S31">
            <v>41388</v>
          </cell>
          <cell r="T31">
            <v>29822</v>
          </cell>
          <cell r="U31">
            <v>0.387834484608678</v>
          </cell>
          <cell r="V31">
            <v>41522</v>
          </cell>
          <cell r="W31">
            <v>-0.00322720485525745</v>
          </cell>
        </row>
        <row r="32">
          <cell r="B32" t="str">
            <v>黄金期权</v>
          </cell>
          <cell r="C32">
            <v>18.28381</v>
          </cell>
          <cell r="D32">
            <v>13.6684772</v>
          </cell>
          <cell r="E32">
            <v>0.33766254517365</v>
          </cell>
          <cell r="F32">
            <v>12.6056758</v>
          </cell>
          <cell r="G32">
            <v>0.450442664882751</v>
          </cell>
          <cell r="H32">
            <v>41.9951544</v>
          </cell>
          <cell r="I32">
            <v>39.9251198</v>
          </cell>
          <cell r="J32">
            <v>0.0518479245740422</v>
          </cell>
          <cell r="K32">
            <v>344745</v>
          </cell>
          <cell r="L32">
            <v>320936</v>
          </cell>
          <cell r="M32">
            <v>0.0741861305680883</v>
          </cell>
          <cell r="N32">
            <v>298263</v>
          </cell>
          <cell r="O32">
            <v>0.155842327073757</v>
          </cell>
          <cell r="P32">
            <v>927244</v>
          </cell>
          <cell r="Q32">
            <v>831448</v>
          </cell>
          <cell r="R32">
            <v>0.115215864371554</v>
          </cell>
          <cell r="S32">
            <v>27540</v>
          </cell>
          <cell r="T32">
            <v>31195</v>
          </cell>
          <cell r="U32">
            <v>-0.11716621253406</v>
          </cell>
          <cell r="V32">
            <v>31856</v>
          </cell>
          <cell r="W32">
            <v>-0.135484681064792</v>
          </cell>
        </row>
        <row r="33">
          <cell r="B33" t="str">
            <v>商品期权小计</v>
          </cell>
          <cell r="C33">
            <v>70.4657858</v>
          </cell>
          <cell r="D33">
            <v>75.1293893</v>
          </cell>
          <cell r="E33">
            <v>-0.0620742900142275</v>
          </cell>
          <cell r="F33">
            <v>48.08810945</v>
          </cell>
          <cell r="G33">
            <v>0.465347392649473</v>
          </cell>
          <cell r="H33">
            <v>172.8608951</v>
          </cell>
          <cell r="I33">
            <v>199.2333208</v>
          </cell>
          <cell r="J33">
            <v>-0.132369553416589</v>
          </cell>
          <cell r="K33">
            <v>2805918</v>
          </cell>
          <cell r="L33">
            <v>2334817</v>
          </cell>
          <cell r="M33">
            <v>0.201772130321134</v>
          </cell>
          <cell r="N33">
            <v>2300889</v>
          </cell>
          <cell r="O33">
            <v>0.219492987275788</v>
          </cell>
          <cell r="P33">
            <v>7774808</v>
          </cell>
          <cell r="Q33">
            <v>5721346</v>
          </cell>
          <cell r="R33">
            <v>0.358912395789382</v>
          </cell>
          <cell r="S33">
            <v>199852</v>
          </cell>
          <cell r="T33">
            <v>166626</v>
          </cell>
          <cell r="U33">
            <v>0.199404654735756</v>
          </cell>
          <cell r="V33">
            <v>188804</v>
          </cell>
          <cell r="W33">
            <v>0.0585157094129362</v>
          </cell>
        </row>
        <row r="34">
          <cell r="B34" t="str">
            <v>总计</v>
          </cell>
          <cell r="C34">
            <v>155050.88668455</v>
          </cell>
          <cell r="D34">
            <v>213619.07823995</v>
          </cell>
          <cell r="E34">
            <v>-0.274171165038043</v>
          </cell>
          <cell r="F34">
            <v>94289.11729985</v>
          </cell>
          <cell r="G34">
            <v>0.64441974985799</v>
          </cell>
          <cell r="H34">
            <v>361519.1423868</v>
          </cell>
          <cell r="I34">
            <v>500904.34251745</v>
          </cell>
          <cell r="J34">
            <v>-0.278267102716911</v>
          </cell>
          <cell r="K34">
            <v>175519708</v>
          </cell>
          <cell r="L34">
            <v>263295036</v>
          </cell>
          <cell r="M34">
            <v>-0.333372513714995</v>
          </cell>
          <cell r="N34">
            <v>105459661</v>
          </cell>
          <cell r="O34">
            <v>0.664330288336504</v>
          </cell>
          <cell r="P34">
            <v>401671291</v>
          </cell>
          <cell r="Q34">
            <v>612174047</v>
          </cell>
          <cell r="R34">
            <v>-0.343860960835538</v>
          </cell>
          <cell r="S34">
            <v>7429870</v>
          </cell>
          <cell r="T34">
            <v>6770943</v>
          </cell>
          <cell r="U34">
            <v>0.0973168729968632</v>
          </cell>
          <cell r="V34">
            <v>8488588</v>
          </cell>
          <cell r="W34">
            <v>-0.12472250979786</v>
          </cell>
        </row>
        <row r="36">
          <cell r="B36" t="str">
            <v>成交量</v>
          </cell>
        </row>
        <row r="38">
          <cell r="B38" t="str">
            <v>品种</v>
          </cell>
        </row>
        <row r="39">
          <cell r="B39" t="str">
            <v>纸浆</v>
          </cell>
        </row>
        <row r="40">
          <cell r="B40" t="str">
            <v>锌</v>
          </cell>
        </row>
        <row r="41">
          <cell r="B41" t="str">
            <v>线材</v>
          </cell>
        </row>
        <row r="42">
          <cell r="B42" t="str">
            <v>锡</v>
          </cell>
        </row>
        <row r="43">
          <cell r="B43" t="str">
            <v>铜</v>
          </cell>
        </row>
        <row r="44">
          <cell r="B44" t="str">
            <v>天然橡胶</v>
          </cell>
        </row>
        <row r="45">
          <cell r="B45" t="str">
            <v>石油沥青</v>
          </cell>
        </row>
        <row r="46">
          <cell r="B46" t="str">
            <v>热轧卷板</v>
          </cell>
        </row>
        <row r="47">
          <cell r="B47" t="str">
            <v>燃料油</v>
          </cell>
        </row>
        <row r="48">
          <cell r="B48" t="str">
            <v>铅</v>
          </cell>
        </row>
        <row r="49">
          <cell r="B49" t="str">
            <v>镍</v>
          </cell>
        </row>
        <row r="50">
          <cell r="B50" t="str">
            <v>螺纹钢</v>
          </cell>
        </row>
        <row r="51">
          <cell r="B51" t="str">
            <v>铝</v>
          </cell>
        </row>
        <row r="52">
          <cell r="B52" t="str">
            <v>黄金</v>
          </cell>
        </row>
        <row r="53">
          <cell r="B53" t="str">
            <v>不锈钢</v>
          </cell>
        </row>
        <row r="54">
          <cell r="B54" t="str">
            <v>白银</v>
          </cell>
        </row>
        <row r="55">
          <cell r="B55" t="str">
            <v>商品期货小计</v>
          </cell>
        </row>
        <row r="56">
          <cell r="B56" t="str">
            <v>锌期权</v>
          </cell>
        </row>
        <row r="57">
          <cell r="B57" t="str">
            <v>铜期权</v>
          </cell>
        </row>
        <row r="58">
          <cell r="B58" t="str">
            <v>天胶期权</v>
          </cell>
        </row>
        <row r="59">
          <cell r="B59" t="str">
            <v>铝期权</v>
          </cell>
        </row>
        <row r="60">
          <cell r="B60" t="str">
            <v>黄金期权</v>
          </cell>
        </row>
        <row r="61">
          <cell r="B61" t="str">
            <v>商品期权小计</v>
          </cell>
        </row>
        <row r="62">
          <cell r="B62" t="str">
            <v>总计</v>
          </cell>
        </row>
        <row r="64">
          <cell r="B64" t="str">
            <v>持仓量</v>
          </cell>
        </row>
        <row r="66">
          <cell r="B66" t="str">
            <v>品种</v>
          </cell>
        </row>
        <row r="67">
          <cell r="B67" t="str">
            <v>纸浆</v>
          </cell>
        </row>
        <row r="68">
          <cell r="B68" t="str">
            <v>锌</v>
          </cell>
        </row>
        <row r="69">
          <cell r="B69" t="str">
            <v>线材</v>
          </cell>
        </row>
        <row r="70">
          <cell r="B70" t="str">
            <v>锡</v>
          </cell>
        </row>
        <row r="71">
          <cell r="B71" t="str">
            <v>铜</v>
          </cell>
        </row>
        <row r="72">
          <cell r="B72" t="str">
            <v>天然橡胶</v>
          </cell>
        </row>
        <row r="73">
          <cell r="B73" t="str">
            <v>石油沥青</v>
          </cell>
        </row>
        <row r="74">
          <cell r="B74" t="str">
            <v>热轧卷板</v>
          </cell>
        </row>
        <row r="75">
          <cell r="B75" t="str">
            <v>燃料油</v>
          </cell>
        </row>
        <row r="76">
          <cell r="B76" t="str">
            <v>铅</v>
          </cell>
        </row>
        <row r="77">
          <cell r="B77" t="str">
            <v>镍</v>
          </cell>
        </row>
        <row r="78">
          <cell r="B78" t="str">
            <v>螺纹钢</v>
          </cell>
        </row>
        <row r="79">
          <cell r="B79" t="str">
            <v>铝</v>
          </cell>
        </row>
        <row r="80">
          <cell r="B80" t="str">
            <v>黄金</v>
          </cell>
        </row>
        <row r="81">
          <cell r="B81" t="str">
            <v>不锈钢</v>
          </cell>
        </row>
        <row r="82">
          <cell r="B82" t="str">
            <v>白银</v>
          </cell>
        </row>
        <row r="83">
          <cell r="B83" t="str">
            <v>商品期货小计</v>
          </cell>
        </row>
        <row r="84">
          <cell r="B84" t="str">
            <v>锌期权</v>
          </cell>
        </row>
        <row r="85">
          <cell r="B85" t="str">
            <v>铜期权</v>
          </cell>
        </row>
        <row r="86">
          <cell r="B86" t="str">
            <v>天胶期权</v>
          </cell>
        </row>
        <row r="87">
          <cell r="B87" t="str">
            <v>铝期权</v>
          </cell>
        </row>
        <row r="88">
          <cell r="B88" t="str">
            <v>黄金期权</v>
          </cell>
        </row>
        <row r="89">
          <cell r="B89" t="str">
            <v>商品期权小计</v>
          </cell>
        </row>
        <row r="90">
          <cell r="B90" t="str">
            <v>总计</v>
          </cell>
        </row>
      </sheetData>
      <sheetData sheetId="3">
        <row r="2">
          <cell r="B2" t="str">
            <v>上海期货交易所-上海国际能源交易中心</v>
          </cell>
        </row>
        <row r="4">
          <cell r="B4" t="str">
            <v>每月品种成交情况汇总</v>
          </cell>
        </row>
        <row r="6">
          <cell r="B6" t="str">
            <v>1、 合约单位：原油为1000桶/手，20号胶为10吨/手，低硫燃料油为10吨/手，铜(BC)为5吨/手。
2、 单位  成交量、持仓量：手；成交金额：亿元
3、 成交量、持仓量、成交金额均单边计算</v>
          </cell>
        </row>
        <row r="8">
          <cell r="B8" t="str">
            <v>成交额</v>
          </cell>
        </row>
        <row r="10">
          <cell r="B10" t="str">
            <v>品种</v>
          </cell>
          <cell r="C10" t="str">
            <v>当月</v>
          </cell>
          <cell r="D10" t="str">
            <v>去年同期</v>
          </cell>
          <cell r="E10" t="str">
            <v>同比</v>
          </cell>
          <cell r="F10" t="str">
            <v>上月</v>
          </cell>
          <cell r="G10" t="str">
            <v>环比</v>
          </cell>
          <cell r="H10" t="str">
            <v>当年累计</v>
          </cell>
          <cell r="I10" t="str">
            <v>去年同期</v>
          </cell>
          <cell r="J10" t="str">
            <v>同比</v>
          </cell>
          <cell r="K10" t="str">
            <v>当月</v>
          </cell>
          <cell r="L10" t="str">
            <v>去年同期</v>
          </cell>
          <cell r="M10" t="str">
            <v>同比</v>
          </cell>
          <cell r="N10" t="str">
            <v>上月</v>
          </cell>
          <cell r="O10" t="str">
            <v>环比</v>
          </cell>
          <cell r="P10" t="str">
            <v>当年累计</v>
          </cell>
          <cell r="Q10" t="str">
            <v>去年同期</v>
          </cell>
          <cell r="R10" t="str">
            <v>同比</v>
          </cell>
          <cell r="S10" t="str">
            <v>当月</v>
          </cell>
          <cell r="T10" t="str">
            <v>去年同期</v>
          </cell>
          <cell r="U10" t="str">
            <v>同比</v>
          </cell>
          <cell r="V10" t="str">
            <v>上月</v>
          </cell>
          <cell r="W10" t="str">
            <v>环比</v>
          </cell>
        </row>
        <row r="11">
          <cell r="B11" t="str">
            <v>原油</v>
          </cell>
          <cell r="C11">
            <v>45481.648054</v>
          </cell>
          <cell r="D11">
            <v>21531.186633</v>
          </cell>
          <cell r="E11">
            <v>1.11236142388418</v>
          </cell>
          <cell r="F11">
            <v>20059.253689</v>
          </cell>
          <cell r="G11">
            <v>1.26736491592112</v>
          </cell>
          <cell r="H11">
            <v>82935.536339</v>
          </cell>
          <cell r="I11">
            <v>43139.603329</v>
          </cell>
          <cell r="J11">
            <v>0.922491862210697</v>
          </cell>
          <cell r="K11">
            <v>6607138</v>
          </cell>
          <cell r="L11">
            <v>5318156</v>
          </cell>
          <cell r="M11">
            <v>0.242373860413271</v>
          </cell>
          <cell r="N11">
            <v>3476357</v>
          </cell>
          <cell r="O11">
            <v>0.900592488055743</v>
          </cell>
          <cell r="P11">
            <v>13387695</v>
          </cell>
          <cell r="Q11">
            <v>11444683</v>
          </cell>
          <cell r="R11">
            <v>0.169774208687126</v>
          </cell>
          <cell r="S11">
            <v>55224</v>
          </cell>
          <cell r="T11">
            <v>76656</v>
          </cell>
          <cell r="U11">
            <v>-0.27958672510958</v>
          </cell>
          <cell r="V11">
            <v>75117</v>
          </cell>
          <cell r="W11">
            <v>-0.264826870082671</v>
          </cell>
        </row>
        <row r="12">
          <cell r="B12" t="str">
            <v>铜(BC)</v>
          </cell>
          <cell r="C12">
            <v>1737.2528</v>
          </cell>
          <cell r="D12">
            <v>1225.638709</v>
          </cell>
          <cell r="E12">
            <v>0.417426511779663</v>
          </cell>
          <cell r="F12">
            <v>970.580943</v>
          </cell>
          <cell r="G12">
            <v>0.789910272326458</v>
          </cell>
          <cell r="H12">
            <v>3654.1032555</v>
          </cell>
          <cell r="I12">
            <v>3250.4274485</v>
          </cell>
          <cell r="J12">
            <v>0.124191606610474</v>
          </cell>
          <cell r="K12">
            <v>531501</v>
          </cell>
          <cell r="L12">
            <v>413680</v>
          </cell>
          <cell r="M12">
            <v>0.28481193192806</v>
          </cell>
          <cell r="N12">
            <v>305417</v>
          </cell>
          <cell r="O12">
            <v>0.740246941067459</v>
          </cell>
          <cell r="P12">
            <v>1138232</v>
          </cell>
          <cell r="Q12">
            <v>1158401</v>
          </cell>
          <cell r="R12">
            <v>-0.0174110692238698</v>
          </cell>
          <cell r="S12">
            <v>24603</v>
          </cell>
          <cell r="T12">
            <v>15995</v>
          </cell>
          <cell r="U12">
            <v>0.538168177555486</v>
          </cell>
          <cell r="V12">
            <v>18227</v>
          </cell>
          <cell r="W12">
            <v>0.349810720359906</v>
          </cell>
        </row>
        <row r="13">
          <cell r="B13" t="str">
            <v>低硫燃料油</v>
          </cell>
          <cell r="C13">
            <v>1444.2107894</v>
          </cell>
          <cell r="D13">
            <v>516.6431863</v>
          </cell>
          <cell r="E13">
            <v>1.79537372735501</v>
          </cell>
          <cell r="F13">
            <v>675.7188575</v>
          </cell>
          <cell r="G13">
            <v>1.13729537568811</v>
          </cell>
          <cell r="H13">
            <v>2680.6948688</v>
          </cell>
          <cell r="I13">
            <v>1333.2973044</v>
          </cell>
          <cell r="J13">
            <v>1.01057548076747</v>
          </cell>
          <cell r="K13">
            <v>2888009</v>
          </cell>
          <cell r="L13">
            <v>1601156</v>
          </cell>
          <cell r="M13">
            <v>0.803702449979889</v>
          </cell>
          <cell r="N13">
            <v>1576405</v>
          </cell>
          <cell r="O13">
            <v>0.832022227790447</v>
          </cell>
          <cell r="P13">
            <v>5902125</v>
          </cell>
          <cell r="Q13">
            <v>4395964</v>
          </cell>
          <cell r="R13">
            <v>0.342623597463492</v>
          </cell>
          <cell r="S13">
            <v>59891</v>
          </cell>
          <cell r="T13">
            <v>83732</v>
          </cell>
          <cell r="U13">
            <v>-0.284729852386184</v>
          </cell>
          <cell r="V13">
            <v>85376</v>
          </cell>
          <cell r="W13">
            <v>-0.298503092203898</v>
          </cell>
        </row>
        <row r="14">
          <cell r="B14" t="str">
            <v>20号胶</v>
          </cell>
          <cell r="C14">
            <v>1343.6625395</v>
          </cell>
          <cell r="D14">
            <v>1133.207336</v>
          </cell>
          <cell r="E14">
            <v>0.185716414652649</v>
          </cell>
          <cell r="F14">
            <v>978.4529815</v>
          </cell>
          <cell r="G14">
            <v>0.373252026316198</v>
          </cell>
          <cell r="H14">
            <v>3244.1877625</v>
          </cell>
          <cell r="I14">
            <v>2533.8281095</v>
          </cell>
          <cell r="J14">
            <v>0.280350371967487</v>
          </cell>
          <cell r="K14">
            <v>1176750</v>
          </cell>
          <cell r="L14">
            <v>962537</v>
          </cell>
          <cell r="M14">
            <v>0.222550405854528</v>
          </cell>
          <cell r="N14">
            <v>825745</v>
          </cell>
          <cell r="O14">
            <v>0.425076748875258</v>
          </cell>
          <cell r="P14">
            <v>2781052</v>
          </cell>
          <cell r="Q14">
            <v>2210409</v>
          </cell>
          <cell r="R14">
            <v>0.258161724821063</v>
          </cell>
          <cell r="S14">
            <v>65185</v>
          </cell>
          <cell r="T14">
            <v>52856</v>
          </cell>
          <cell r="U14">
            <v>0.233256394732859</v>
          </cell>
          <cell r="V14">
            <v>74281</v>
          </cell>
          <cell r="W14">
            <v>-0.122453924960623</v>
          </cell>
        </row>
        <row r="15">
          <cell r="B15" t="str">
            <v>商品期货小计</v>
          </cell>
          <cell r="C15">
            <v>50006.7741829</v>
          </cell>
          <cell r="D15">
            <v>24406.6758643</v>
          </cell>
          <cell r="E15">
            <v>1.04889737795247</v>
          </cell>
          <cell r="F15">
            <v>22684.006471</v>
          </cell>
          <cell r="G15">
            <v>1.20449479446368</v>
          </cell>
          <cell r="H15">
            <v>92514.5222258</v>
          </cell>
          <cell r="I15">
            <v>50257.1561914</v>
          </cell>
          <cell r="J15">
            <v>0.840822864578061</v>
          </cell>
          <cell r="K15">
            <v>11203398</v>
          </cell>
          <cell r="L15">
            <v>8295529</v>
          </cell>
          <cell r="M15">
            <v>0.350534486709648</v>
          </cell>
          <cell r="N15">
            <v>6183924</v>
          </cell>
          <cell r="O15">
            <v>0.811697233019035</v>
          </cell>
          <cell r="P15">
            <v>23209104</v>
          </cell>
          <cell r="Q15">
            <v>19209457</v>
          </cell>
          <cell r="R15">
            <v>0.20821239246898</v>
          </cell>
          <cell r="S15">
            <v>204903</v>
          </cell>
          <cell r="T15">
            <v>229239</v>
          </cell>
          <cell r="U15">
            <v>-0.106159946605944</v>
          </cell>
          <cell r="V15">
            <v>253001</v>
          </cell>
          <cell r="W15">
            <v>-0.190109920514148</v>
          </cell>
        </row>
        <row r="16">
          <cell r="B16" t="str">
            <v>原油期权</v>
          </cell>
          <cell r="C16">
            <v>54.757946</v>
          </cell>
          <cell r="D16">
            <v>0</v>
          </cell>
          <cell r="E16">
            <v>0</v>
          </cell>
          <cell r="F16">
            <v>27.073511</v>
          </cell>
          <cell r="G16">
            <v>1.02256537764902</v>
          </cell>
          <cell r="H16">
            <v>102.4176075</v>
          </cell>
          <cell r="I16">
            <v>0</v>
          </cell>
          <cell r="J16">
            <v>0</v>
          </cell>
          <cell r="K16">
            <v>379743</v>
          </cell>
          <cell r="L16">
            <v>0</v>
          </cell>
          <cell r="M16">
            <v>0</v>
          </cell>
          <cell r="N16">
            <v>272178</v>
          </cell>
          <cell r="O16">
            <v>0.39520093468245</v>
          </cell>
          <cell r="P16">
            <v>904157</v>
          </cell>
          <cell r="Q16">
            <v>0</v>
          </cell>
          <cell r="R16">
            <v>0</v>
          </cell>
          <cell r="S16">
            <v>18045</v>
          </cell>
          <cell r="T16">
            <v>0</v>
          </cell>
          <cell r="U16">
            <v>0</v>
          </cell>
          <cell r="V16">
            <v>20269</v>
          </cell>
          <cell r="W16">
            <v>-0.109724209383788</v>
          </cell>
        </row>
        <row r="17">
          <cell r="B17" t="str">
            <v>商品期权小计</v>
          </cell>
          <cell r="C17">
            <v>54.757946</v>
          </cell>
          <cell r="D17">
            <v>0</v>
          </cell>
          <cell r="E17">
            <v>0</v>
          </cell>
          <cell r="F17">
            <v>27.073511</v>
          </cell>
          <cell r="G17">
            <v>1.02256537764902</v>
          </cell>
          <cell r="H17">
            <v>102.4176075</v>
          </cell>
          <cell r="I17">
            <v>0</v>
          </cell>
          <cell r="J17">
            <v>0</v>
          </cell>
          <cell r="K17">
            <v>379743</v>
          </cell>
          <cell r="L17">
            <v>0</v>
          </cell>
          <cell r="M17">
            <v>0</v>
          </cell>
          <cell r="N17">
            <v>272178</v>
          </cell>
          <cell r="O17">
            <v>0.39520093468245</v>
          </cell>
          <cell r="P17">
            <v>904157</v>
          </cell>
          <cell r="Q17">
            <v>0</v>
          </cell>
          <cell r="R17">
            <v>0</v>
          </cell>
          <cell r="S17">
            <v>18045</v>
          </cell>
          <cell r="T17">
            <v>0</v>
          </cell>
          <cell r="U17">
            <v>0</v>
          </cell>
          <cell r="V17">
            <v>20269</v>
          </cell>
          <cell r="W17">
            <v>-0.109724209383788</v>
          </cell>
        </row>
        <row r="18">
          <cell r="B18" t="str">
            <v>总计</v>
          </cell>
          <cell r="C18">
            <v>50061.5321289</v>
          </cell>
          <cell r="D18">
            <v>24406.6758643</v>
          </cell>
          <cell r="E18">
            <v>1.0511409422258</v>
          </cell>
          <cell r="F18">
            <v>22711.079982</v>
          </cell>
          <cell r="G18">
            <v>1.20427791934937</v>
          </cell>
          <cell r="H18">
            <v>92616.9398333</v>
          </cell>
          <cell r="I18">
            <v>50257.1561914</v>
          </cell>
          <cell r="J18">
            <v>0.842860735704512</v>
          </cell>
          <cell r="K18">
            <v>11583141</v>
          </cell>
          <cell r="L18">
            <v>8295529</v>
          </cell>
          <cell r="M18">
            <v>0.396311314203109</v>
          </cell>
          <cell r="N18">
            <v>6456102</v>
          </cell>
          <cell r="O18">
            <v>0.794138475507357</v>
          </cell>
          <cell r="P18">
            <v>24113261</v>
          </cell>
          <cell r="Q18">
            <v>19209457</v>
          </cell>
          <cell r="R18">
            <v>0.255280719283216</v>
          </cell>
          <cell r="S18">
            <v>222948</v>
          </cell>
          <cell r="T18">
            <v>229239</v>
          </cell>
          <cell r="U18">
            <v>-0.0274429743630011</v>
          </cell>
          <cell r="V18">
            <v>273270</v>
          </cell>
          <cell r="W18">
            <v>-0.184147546382698</v>
          </cell>
        </row>
        <row r="20">
          <cell r="B20" t="str">
            <v>成交量</v>
          </cell>
        </row>
        <row r="32">
          <cell r="B32" t="str">
            <v>持仓量</v>
          </cell>
        </row>
      </sheetData>
      <sheetData sheetId="4">
        <row r="3">
          <cell r="B3" t="str">
            <v>品种名称</v>
          </cell>
          <cell r="C3" t="str">
            <v>本月成交量(手)</v>
          </cell>
          <cell r="D3" t="str">
            <v>去年同期成交量(手)</v>
          </cell>
          <cell r="E3" t="str">
            <v>同比增减(%)</v>
          </cell>
          <cell r="F3" t="str">
            <v>上月成交量(手)</v>
          </cell>
          <cell r="G3" t="str">
            <v>环比增减(%)</v>
          </cell>
          <cell r="H3" t="str">
            <v>本月成交额(亿元)</v>
          </cell>
          <cell r="I3" t="str">
            <v>去年同期成交额(亿元)</v>
          </cell>
          <cell r="J3" t="str">
            <v>同比增减(%)</v>
          </cell>
          <cell r="K3" t="str">
            <v>上月成交额(亿元)</v>
          </cell>
          <cell r="L3" t="str">
            <v>环比增减(%)</v>
          </cell>
          <cell r="M3" t="str">
            <v>今年累计成交总量(手)</v>
          </cell>
          <cell r="N3" t="str">
            <v>去年累计成交总量(手)</v>
          </cell>
          <cell r="O3" t="str">
            <v>同比增减(%)</v>
          </cell>
          <cell r="P3" t="str">
            <v>今年累计成交总额(亿元)</v>
          </cell>
          <cell r="Q3" t="str">
            <v>去年累计成交总额(亿元)</v>
          </cell>
          <cell r="R3" t="str">
            <v>同比增减(%)</v>
          </cell>
          <cell r="S3" t="str">
            <v>本月月末持仓</v>
          </cell>
          <cell r="T3" t="str">
            <v>上月月末持仓</v>
          </cell>
          <cell r="U3" t="str">
            <v>环比增减(%)</v>
          </cell>
        </row>
        <row r="4">
          <cell r="B4" t="str">
            <v>一号棉CF</v>
          </cell>
          <cell r="C4">
            <v>6431706</v>
          </cell>
          <cell r="D4">
            <v>12566080</v>
          </cell>
          <cell r="E4">
            <v>-48.82</v>
          </cell>
          <cell r="F4">
            <v>4220421</v>
          </cell>
          <cell r="G4">
            <v>52.39</v>
          </cell>
          <cell r="H4">
            <v>6815.51</v>
          </cell>
          <cell r="I4">
            <v>9804.775</v>
          </cell>
          <cell r="J4">
            <v>-30.49</v>
          </cell>
          <cell r="K4">
            <v>4499.24</v>
          </cell>
          <cell r="L4">
            <v>51.48</v>
          </cell>
          <cell r="M4">
            <v>15581934</v>
          </cell>
          <cell r="N4">
            <v>26998524</v>
          </cell>
          <cell r="O4">
            <v>-42.29</v>
          </cell>
          <cell r="P4">
            <v>16585.385</v>
          </cell>
          <cell r="Q4">
            <v>21012.04</v>
          </cell>
          <cell r="R4">
            <v>-21.07</v>
          </cell>
          <cell r="S4">
            <v>516086</v>
          </cell>
          <cell r="T4">
            <v>533760</v>
          </cell>
          <cell r="U4">
            <v>-3.31</v>
          </cell>
        </row>
        <row r="5">
          <cell r="B5" t="str">
            <v>一号棉期权</v>
          </cell>
          <cell r="C5">
            <v>1219690</v>
          </cell>
          <cell r="D5">
            <v>902941</v>
          </cell>
          <cell r="E5">
            <v>35.08</v>
          </cell>
          <cell r="F5">
            <v>610976</v>
          </cell>
          <cell r="G5">
            <v>99.63</v>
          </cell>
          <cell r="H5">
            <v>12.115</v>
          </cell>
          <cell r="I5">
            <v>10.815</v>
          </cell>
          <cell r="J5">
            <v>12.05</v>
          </cell>
          <cell r="K5">
            <v>9.135</v>
          </cell>
          <cell r="L5">
            <v>32.65</v>
          </cell>
          <cell r="M5">
            <v>2426678</v>
          </cell>
          <cell r="N5">
            <v>1926108</v>
          </cell>
          <cell r="O5">
            <v>25.99</v>
          </cell>
          <cell r="P5">
            <v>30.085</v>
          </cell>
          <cell r="Q5">
            <v>29.04</v>
          </cell>
          <cell r="R5">
            <v>3.6</v>
          </cell>
          <cell r="S5">
            <v>215451</v>
          </cell>
          <cell r="T5">
            <v>172599</v>
          </cell>
          <cell r="U5">
            <v>24.83</v>
          </cell>
        </row>
        <row r="6">
          <cell r="B6" t="str">
            <v>棉纱</v>
          </cell>
          <cell r="C6">
            <v>56777</v>
          </cell>
          <cell r="D6">
            <v>204950</v>
          </cell>
          <cell r="E6">
            <v>-72.3</v>
          </cell>
          <cell r="F6">
            <v>39655</v>
          </cell>
          <cell r="G6">
            <v>43.18</v>
          </cell>
          <cell r="H6">
            <v>80.55</v>
          </cell>
          <cell r="I6">
            <v>239.685</v>
          </cell>
          <cell r="J6">
            <v>-66.39</v>
          </cell>
          <cell r="K6">
            <v>56.77</v>
          </cell>
          <cell r="L6">
            <v>41.89</v>
          </cell>
          <cell r="M6">
            <v>138599</v>
          </cell>
          <cell r="N6">
            <v>700048</v>
          </cell>
          <cell r="O6">
            <v>-80.2</v>
          </cell>
          <cell r="P6">
            <v>197.865</v>
          </cell>
          <cell r="Q6">
            <v>793.39</v>
          </cell>
          <cell r="R6">
            <v>-75.06</v>
          </cell>
          <cell r="S6">
            <v>4171</v>
          </cell>
          <cell r="T6">
            <v>3781</v>
          </cell>
          <cell r="U6">
            <v>10.31</v>
          </cell>
        </row>
        <row r="7">
          <cell r="B7" t="str">
            <v>早籼稻</v>
          </cell>
          <cell r="C7">
            <v>152</v>
          </cell>
          <cell r="D7">
            <v>6</v>
          </cell>
          <cell r="E7">
            <v>2433.33</v>
          </cell>
          <cell r="F7">
            <v>4</v>
          </cell>
          <cell r="G7">
            <v>3700</v>
          </cell>
          <cell r="H7">
            <v>0.09</v>
          </cell>
          <cell r="I7">
            <v>0.005</v>
          </cell>
          <cell r="J7">
            <v>2698.73</v>
          </cell>
          <cell r="K7">
            <v>0</v>
          </cell>
          <cell r="L7">
            <v>3878.52</v>
          </cell>
          <cell r="M7">
            <v>268</v>
          </cell>
          <cell r="N7">
            <v>8</v>
          </cell>
          <cell r="O7">
            <v>3250</v>
          </cell>
          <cell r="P7">
            <v>0.155</v>
          </cell>
          <cell r="Q7">
            <v>0.005</v>
          </cell>
          <cell r="R7">
            <v>3000</v>
          </cell>
          <cell r="S7">
            <v>3</v>
          </cell>
          <cell r="T7">
            <v>2</v>
          </cell>
          <cell r="U7">
            <v>50</v>
          </cell>
        </row>
        <row r="8">
          <cell r="B8" t="str">
            <v>甲醇MA</v>
          </cell>
          <cell r="C8">
            <v>29759732</v>
          </cell>
          <cell r="D8">
            <v>34294440</v>
          </cell>
          <cell r="E8">
            <v>-13.22</v>
          </cell>
          <cell r="F8">
            <v>18739404</v>
          </cell>
          <cell r="G8">
            <v>58.81</v>
          </cell>
          <cell r="H8">
            <v>9138.27</v>
          </cell>
          <cell r="I8">
            <v>8433.82</v>
          </cell>
          <cell r="J8">
            <v>8.35</v>
          </cell>
          <cell r="K8">
            <v>5247.39</v>
          </cell>
          <cell r="L8">
            <v>74.15</v>
          </cell>
          <cell r="M8">
            <v>72822196</v>
          </cell>
          <cell r="N8">
            <v>84159940</v>
          </cell>
          <cell r="O8">
            <v>-13.47</v>
          </cell>
          <cell r="P8">
            <v>20955.85</v>
          </cell>
          <cell r="Q8">
            <v>20142.67</v>
          </cell>
          <cell r="R8">
            <v>4.04</v>
          </cell>
          <cell r="S8">
            <v>1448609</v>
          </cell>
          <cell r="T8">
            <v>1568752</v>
          </cell>
          <cell r="U8">
            <v>-7.66</v>
          </cell>
        </row>
        <row r="9">
          <cell r="B9" t="str">
            <v>甲醇期权</v>
          </cell>
          <cell r="C9">
            <v>2790697</v>
          </cell>
          <cell r="D9">
            <v>1891708</v>
          </cell>
          <cell r="E9">
            <v>47.52</v>
          </cell>
          <cell r="F9">
            <v>1768687</v>
          </cell>
          <cell r="G9">
            <v>57.78</v>
          </cell>
          <cell r="H9">
            <v>15.315</v>
          </cell>
          <cell r="I9">
            <v>7.97</v>
          </cell>
          <cell r="J9">
            <v>92.21</v>
          </cell>
          <cell r="K9">
            <v>8.22</v>
          </cell>
          <cell r="L9">
            <v>86.32</v>
          </cell>
          <cell r="M9">
            <v>7011108</v>
          </cell>
          <cell r="N9">
            <v>4086275</v>
          </cell>
          <cell r="O9">
            <v>71.58</v>
          </cell>
          <cell r="P9">
            <v>34.14</v>
          </cell>
          <cell r="Q9">
            <v>18.49</v>
          </cell>
          <cell r="R9">
            <v>84.64</v>
          </cell>
          <cell r="S9">
            <v>175092</v>
          </cell>
          <cell r="T9">
            <v>134810</v>
          </cell>
          <cell r="U9">
            <v>29.88</v>
          </cell>
        </row>
        <row r="10">
          <cell r="B10" t="str">
            <v>菜籽油</v>
          </cell>
          <cell r="C10">
            <v>7627914</v>
          </cell>
          <cell r="D10">
            <v>9986136</v>
          </cell>
          <cell r="E10">
            <v>-23.61</v>
          </cell>
          <cell r="F10">
            <v>6612796</v>
          </cell>
          <cell r="G10">
            <v>15.35</v>
          </cell>
          <cell r="H10">
            <v>9780.415</v>
          </cell>
          <cell r="I10">
            <v>10530.68</v>
          </cell>
          <cell r="J10">
            <v>-7.12</v>
          </cell>
          <cell r="K10">
            <v>8153.545</v>
          </cell>
          <cell r="L10">
            <v>19.95</v>
          </cell>
          <cell r="M10">
            <v>21937028</v>
          </cell>
          <cell r="N10">
            <v>21829231</v>
          </cell>
          <cell r="O10">
            <v>0.49</v>
          </cell>
          <cell r="P10">
            <v>27175.975</v>
          </cell>
          <cell r="Q10">
            <v>22304.99</v>
          </cell>
          <cell r="R10">
            <v>21.84</v>
          </cell>
          <cell r="S10">
            <v>229799</v>
          </cell>
          <cell r="T10">
            <v>212911</v>
          </cell>
          <cell r="U10">
            <v>7.93</v>
          </cell>
        </row>
        <row r="11">
          <cell r="B11" t="str">
            <v>油菜籽RS</v>
          </cell>
          <cell r="C11">
            <v>481</v>
          </cell>
          <cell r="D11">
            <v>818</v>
          </cell>
          <cell r="E11">
            <v>-41.2</v>
          </cell>
          <cell r="F11">
            <v>113</v>
          </cell>
          <cell r="G11">
            <v>325.66</v>
          </cell>
          <cell r="H11">
            <v>0.305</v>
          </cell>
          <cell r="I11">
            <v>0.5</v>
          </cell>
          <cell r="J11">
            <v>-38.97</v>
          </cell>
          <cell r="K11">
            <v>0.07</v>
          </cell>
          <cell r="L11">
            <v>347.79</v>
          </cell>
          <cell r="M11">
            <v>631</v>
          </cell>
          <cell r="N11">
            <v>2835</v>
          </cell>
          <cell r="O11">
            <v>-77.74</v>
          </cell>
          <cell r="P11">
            <v>0.395</v>
          </cell>
          <cell r="Q11">
            <v>1.725</v>
          </cell>
          <cell r="R11">
            <v>-77.1</v>
          </cell>
          <cell r="S11">
            <v>24</v>
          </cell>
          <cell r="T11">
            <v>13</v>
          </cell>
          <cell r="U11">
            <v>84.62</v>
          </cell>
        </row>
        <row r="12">
          <cell r="B12" t="str">
            <v>菜籽粕RM</v>
          </cell>
          <cell r="C12">
            <v>16206321</v>
          </cell>
          <cell r="D12">
            <v>29602227</v>
          </cell>
          <cell r="E12">
            <v>-45.25</v>
          </cell>
          <cell r="F12">
            <v>15435549</v>
          </cell>
          <cell r="G12">
            <v>4.99</v>
          </cell>
          <cell r="H12">
            <v>6104.77</v>
          </cell>
          <cell r="I12">
            <v>8391.24</v>
          </cell>
          <cell r="J12">
            <v>-27.25</v>
          </cell>
          <cell r="K12">
            <v>5336.35</v>
          </cell>
          <cell r="L12">
            <v>14.4</v>
          </cell>
          <cell r="M12">
            <v>44443547</v>
          </cell>
          <cell r="N12">
            <v>68072317</v>
          </cell>
          <cell r="O12">
            <v>-34.71</v>
          </cell>
          <cell r="P12">
            <v>15228.645</v>
          </cell>
          <cell r="Q12">
            <v>19683.565</v>
          </cell>
          <cell r="R12">
            <v>-22.63</v>
          </cell>
          <cell r="S12">
            <v>712077</v>
          </cell>
          <cell r="T12">
            <v>782311</v>
          </cell>
          <cell r="U12">
            <v>-8.98</v>
          </cell>
        </row>
        <row r="13">
          <cell r="B13" t="str">
            <v>菜籽粕期权</v>
          </cell>
          <cell r="C13">
            <v>960450</v>
          </cell>
          <cell r="D13">
            <v>756553</v>
          </cell>
          <cell r="E13">
            <v>26.95</v>
          </cell>
          <cell r="F13">
            <v>676792</v>
          </cell>
          <cell r="G13">
            <v>41.91</v>
          </cell>
          <cell r="H13">
            <v>8.645</v>
          </cell>
          <cell r="I13">
            <v>2.695</v>
          </cell>
          <cell r="J13">
            <v>220.79</v>
          </cell>
          <cell r="K13">
            <v>6.36</v>
          </cell>
          <cell r="L13">
            <v>35.89</v>
          </cell>
          <cell r="M13">
            <v>2157195</v>
          </cell>
          <cell r="N13">
            <v>1654223</v>
          </cell>
          <cell r="O13">
            <v>30.41</v>
          </cell>
          <cell r="P13">
            <v>17.795</v>
          </cell>
          <cell r="Q13">
            <v>7.72</v>
          </cell>
          <cell r="R13">
            <v>130.51</v>
          </cell>
          <cell r="S13">
            <v>121613</v>
          </cell>
          <cell r="T13">
            <v>101473</v>
          </cell>
          <cell r="U13">
            <v>19.85</v>
          </cell>
        </row>
        <row r="14">
          <cell r="B14" t="str">
            <v>白糖SR</v>
          </cell>
          <cell r="C14">
            <v>10374867</v>
          </cell>
          <cell r="D14">
            <v>11655293</v>
          </cell>
          <cell r="E14">
            <v>-10.99</v>
          </cell>
          <cell r="F14">
            <v>6696471</v>
          </cell>
          <cell r="G14">
            <v>54.93</v>
          </cell>
          <cell r="H14">
            <v>6055.19</v>
          </cell>
          <cell r="I14">
            <v>6304.485</v>
          </cell>
          <cell r="J14">
            <v>-3.95</v>
          </cell>
          <cell r="K14">
            <v>3838.125</v>
          </cell>
          <cell r="L14">
            <v>57.76</v>
          </cell>
          <cell r="M14">
            <v>24842191</v>
          </cell>
          <cell r="N14">
            <v>30694427</v>
          </cell>
          <cell r="O14">
            <v>-19.07</v>
          </cell>
          <cell r="P14">
            <v>14378.005</v>
          </cell>
          <cell r="Q14">
            <v>16471.655</v>
          </cell>
          <cell r="R14">
            <v>-12.71</v>
          </cell>
          <cell r="S14">
            <v>604642</v>
          </cell>
          <cell r="T14">
            <v>644621</v>
          </cell>
          <cell r="U14">
            <v>-6.2</v>
          </cell>
        </row>
        <row r="15">
          <cell r="B15" t="str">
            <v>白糖期权</v>
          </cell>
          <cell r="C15">
            <v>2250761</v>
          </cell>
          <cell r="D15">
            <v>1029311</v>
          </cell>
          <cell r="E15">
            <v>118.67</v>
          </cell>
          <cell r="F15">
            <v>1275305</v>
          </cell>
          <cell r="G15">
            <v>76.49</v>
          </cell>
          <cell r="H15">
            <v>11.47</v>
          </cell>
          <cell r="I15">
            <v>5.84</v>
          </cell>
          <cell r="J15">
            <v>96.4</v>
          </cell>
          <cell r="K15">
            <v>6.585</v>
          </cell>
          <cell r="L15">
            <v>74.11</v>
          </cell>
          <cell r="M15">
            <v>4732135</v>
          </cell>
          <cell r="N15">
            <v>2377978</v>
          </cell>
          <cell r="O15">
            <v>99</v>
          </cell>
          <cell r="P15">
            <v>24.54</v>
          </cell>
          <cell r="Q15">
            <v>17.1</v>
          </cell>
          <cell r="R15">
            <v>43.51</v>
          </cell>
          <cell r="S15">
            <v>280359</v>
          </cell>
          <cell r="T15">
            <v>250131</v>
          </cell>
          <cell r="U15">
            <v>12.08</v>
          </cell>
        </row>
        <row r="16">
          <cell r="B16" t="str">
            <v>PTA</v>
          </cell>
          <cell r="C16">
            <v>50705534</v>
          </cell>
          <cell r="D16">
            <v>57865644</v>
          </cell>
          <cell r="E16">
            <v>-12.37</v>
          </cell>
          <cell r="F16">
            <v>28719295</v>
          </cell>
          <cell r="G16">
            <v>76.56</v>
          </cell>
          <cell r="H16">
            <v>15333.76</v>
          </cell>
          <cell r="I16">
            <v>13208.46</v>
          </cell>
          <cell r="J16">
            <v>16.09</v>
          </cell>
          <cell r="K16">
            <v>8058.945</v>
          </cell>
          <cell r="L16">
            <v>90.27</v>
          </cell>
          <cell r="M16">
            <v>112605184</v>
          </cell>
          <cell r="N16">
            <v>138612198</v>
          </cell>
          <cell r="O16">
            <v>-18.76</v>
          </cell>
          <cell r="P16">
            <v>32150.02</v>
          </cell>
          <cell r="Q16">
            <v>30134.785</v>
          </cell>
          <cell r="R16">
            <v>6.69</v>
          </cell>
          <cell r="S16">
            <v>1903466</v>
          </cell>
          <cell r="T16">
            <v>1977564</v>
          </cell>
          <cell r="U16">
            <v>-3.75</v>
          </cell>
        </row>
        <row r="17">
          <cell r="B17" t="str">
            <v>PTA期权</v>
          </cell>
          <cell r="C17">
            <v>3394850</v>
          </cell>
          <cell r="D17">
            <v>2543779</v>
          </cell>
          <cell r="E17">
            <v>33.46</v>
          </cell>
          <cell r="F17">
            <v>2694918</v>
          </cell>
          <cell r="G17">
            <v>25.97</v>
          </cell>
          <cell r="H17">
            <v>20.275</v>
          </cell>
          <cell r="I17">
            <v>10.6</v>
          </cell>
          <cell r="J17">
            <v>91.27</v>
          </cell>
          <cell r="K17">
            <v>12.635</v>
          </cell>
          <cell r="L17">
            <v>60.46</v>
          </cell>
          <cell r="M17">
            <v>9014357</v>
          </cell>
          <cell r="N17">
            <v>5922638</v>
          </cell>
          <cell r="O17">
            <v>52.2</v>
          </cell>
          <cell r="P17">
            <v>44.12</v>
          </cell>
          <cell r="Q17">
            <v>30.22</v>
          </cell>
          <cell r="R17">
            <v>46</v>
          </cell>
          <cell r="S17">
            <v>208631</v>
          </cell>
          <cell r="T17">
            <v>202856</v>
          </cell>
          <cell r="U17">
            <v>2.85</v>
          </cell>
        </row>
        <row r="18">
          <cell r="B18" t="str">
            <v>普麦PM</v>
          </cell>
          <cell r="C18">
            <v>0</v>
          </cell>
          <cell r="D18">
            <v>3</v>
          </cell>
          <cell r="E18">
            <v>-100</v>
          </cell>
          <cell r="F18">
            <v>0</v>
          </cell>
          <cell r="G18">
            <v>0</v>
          </cell>
          <cell r="H18">
            <v>0</v>
          </cell>
          <cell r="I18">
            <v>0.005</v>
          </cell>
          <cell r="J18">
            <v>-100</v>
          </cell>
          <cell r="K18">
            <v>0</v>
          </cell>
          <cell r="L18">
            <v>0</v>
          </cell>
          <cell r="M18">
            <v>0</v>
          </cell>
          <cell r="N18">
            <v>193</v>
          </cell>
          <cell r="O18">
            <v>-100</v>
          </cell>
          <cell r="P18">
            <v>0</v>
          </cell>
          <cell r="Q18">
            <v>0.245</v>
          </cell>
          <cell r="R18">
            <v>-100</v>
          </cell>
          <cell r="S18">
            <v>0</v>
          </cell>
          <cell r="T18">
            <v>0</v>
          </cell>
          <cell r="U18">
            <v>0</v>
          </cell>
        </row>
        <row r="19">
          <cell r="B19" t="str">
            <v>优质强筋小麦</v>
          </cell>
          <cell r="C19">
            <v>39584</v>
          </cell>
          <cell r="D19">
            <v>1090</v>
          </cell>
          <cell r="E19">
            <v>3531.56</v>
          </cell>
          <cell r="F19">
            <v>5387</v>
          </cell>
          <cell r="G19">
            <v>634.81</v>
          </cell>
          <cell r="H19">
            <v>27.985</v>
          </cell>
          <cell r="I19">
            <v>0.6</v>
          </cell>
          <cell r="J19">
            <v>4545.43</v>
          </cell>
          <cell r="K19">
            <v>3.39</v>
          </cell>
          <cell r="L19">
            <v>725.26</v>
          </cell>
          <cell r="M19">
            <v>45051</v>
          </cell>
          <cell r="N19">
            <v>5911</v>
          </cell>
          <cell r="O19">
            <v>662.16</v>
          </cell>
          <cell r="P19">
            <v>31.425</v>
          </cell>
          <cell r="Q19">
            <v>3.235</v>
          </cell>
          <cell r="R19">
            <v>871.41</v>
          </cell>
          <cell r="S19">
            <v>254</v>
          </cell>
          <cell r="T19">
            <v>635</v>
          </cell>
          <cell r="U19">
            <v>-60</v>
          </cell>
        </row>
        <row r="20">
          <cell r="B20" t="str">
            <v>玻璃FG</v>
          </cell>
          <cell r="C20">
            <v>19944731</v>
          </cell>
          <cell r="D20">
            <v>31944333</v>
          </cell>
          <cell r="E20">
            <v>-37.56</v>
          </cell>
          <cell r="F20">
            <v>10913040</v>
          </cell>
          <cell r="G20">
            <v>82.76</v>
          </cell>
          <cell r="H20">
            <v>7876.795</v>
          </cell>
          <cell r="I20">
            <v>13153.9</v>
          </cell>
          <cell r="J20">
            <v>-40.12</v>
          </cell>
          <cell r="K20">
            <v>4623.78</v>
          </cell>
          <cell r="L20">
            <v>70.35</v>
          </cell>
          <cell r="M20">
            <v>39863896</v>
          </cell>
          <cell r="N20">
            <v>66079333</v>
          </cell>
          <cell r="O20">
            <v>-39.67</v>
          </cell>
          <cell r="P20">
            <v>16156.725</v>
          </cell>
          <cell r="Q20">
            <v>25560.76</v>
          </cell>
          <cell r="R20">
            <v>-36.79</v>
          </cell>
          <cell r="S20">
            <v>751617</v>
          </cell>
          <cell r="T20">
            <v>538450</v>
          </cell>
          <cell r="U20">
            <v>39.59</v>
          </cell>
        </row>
        <row r="21">
          <cell r="B21" t="str">
            <v>动力煤ZC</v>
          </cell>
          <cell r="C21">
            <v>60265</v>
          </cell>
          <cell r="D21">
            <v>15291316</v>
          </cell>
          <cell r="E21">
            <v>-99.61</v>
          </cell>
          <cell r="F21">
            <v>162311</v>
          </cell>
          <cell r="G21">
            <v>-62.87</v>
          </cell>
          <cell r="H21">
            <v>50.965</v>
          </cell>
          <cell r="I21">
            <v>10158.465</v>
          </cell>
          <cell r="J21">
            <v>-99.5</v>
          </cell>
          <cell r="K21">
            <v>133</v>
          </cell>
          <cell r="L21">
            <v>-61.68</v>
          </cell>
          <cell r="M21">
            <v>469180</v>
          </cell>
          <cell r="N21">
            <v>39496129</v>
          </cell>
          <cell r="O21">
            <v>-98.81</v>
          </cell>
          <cell r="P21">
            <v>364.945</v>
          </cell>
          <cell r="Q21">
            <v>26108.39</v>
          </cell>
          <cell r="R21">
            <v>-98.6</v>
          </cell>
          <cell r="S21">
            <v>3258</v>
          </cell>
          <cell r="T21">
            <v>16405</v>
          </cell>
          <cell r="U21">
            <v>-80.14</v>
          </cell>
        </row>
        <row r="22">
          <cell r="B22" t="str">
            <v>动力煤期权</v>
          </cell>
          <cell r="C22">
            <v>38902</v>
          </cell>
          <cell r="D22">
            <v>1307159</v>
          </cell>
          <cell r="E22">
            <v>-97.02</v>
          </cell>
          <cell r="F22">
            <v>43627</v>
          </cell>
          <cell r="G22">
            <v>-10.83</v>
          </cell>
          <cell r="H22">
            <v>0.985</v>
          </cell>
          <cell r="I22">
            <v>13.485</v>
          </cell>
          <cell r="J22">
            <v>-92.69</v>
          </cell>
          <cell r="K22">
            <v>1.415</v>
          </cell>
          <cell r="L22">
            <v>-30.3</v>
          </cell>
          <cell r="M22">
            <v>121529</v>
          </cell>
          <cell r="N22">
            <v>2488996</v>
          </cell>
          <cell r="O22">
            <v>-95.12</v>
          </cell>
          <cell r="P22">
            <v>3.84</v>
          </cell>
          <cell r="Q22">
            <v>30.895</v>
          </cell>
          <cell r="R22">
            <v>-87.57</v>
          </cell>
          <cell r="S22">
            <v>8141</v>
          </cell>
          <cell r="T22">
            <v>14380</v>
          </cell>
          <cell r="U22">
            <v>-43.39</v>
          </cell>
        </row>
        <row r="23">
          <cell r="B23" t="str">
            <v>粳稻JR</v>
          </cell>
          <cell r="C23">
            <v>890</v>
          </cell>
          <cell r="D23">
            <v>132</v>
          </cell>
          <cell r="E23">
            <v>574.24</v>
          </cell>
          <cell r="F23">
            <v>0</v>
          </cell>
          <cell r="G23">
            <v>0</v>
          </cell>
          <cell r="H23">
            <v>0.525</v>
          </cell>
          <cell r="I23">
            <v>0.075</v>
          </cell>
          <cell r="J23">
            <v>611.13</v>
          </cell>
          <cell r="K23">
            <v>0</v>
          </cell>
          <cell r="L23">
            <v>0</v>
          </cell>
          <cell r="M23">
            <v>895</v>
          </cell>
          <cell r="N23">
            <v>1280</v>
          </cell>
          <cell r="O23">
            <v>-30.08</v>
          </cell>
          <cell r="P23">
            <v>0.53</v>
          </cell>
          <cell r="Q23">
            <v>0.745</v>
          </cell>
          <cell r="R23">
            <v>-28.86</v>
          </cell>
          <cell r="S23">
            <v>23</v>
          </cell>
          <cell r="T23">
            <v>0</v>
          </cell>
          <cell r="U23">
            <v>0</v>
          </cell>
        </row>
        <row r="24">
          <cell r="B24" t="str">
            <v>晚籼稻LR</v>
          </cell>
          <cell r="C24">
            <v>95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0.055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95</v>
          </cell>
          <cell r="N24">
            <v>0</v>
          </cell>
          <cell r="O24">
            <v>0</v>
          </cell>
          <cell r="P24">
            <v>0.055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B25" t="str">
            <v>硅铁SF</v>
          </cell>
          <cell r="C25">
            <v>6410518</v>
          </cell>
          <cell r="D25">
            <v>8809022</v>
          </cell>
          <cell r="E25">
            <v>-27.23</v>
          </cell>
          <cell r="F25">
            <v>4688069</v>
          </cell>
          <cell r="G25">
            <v>36.74</v>
          </cell>
          <cell r="H25">
            <v>3095.49</v>
          </cell>
          <cell r="I25">
            <v>3308.105</v>
          </cell>
          <cell r="J25">
            <v>-6.43</v>
          </cell>
          <cell r="K25">
            <v>2160.58</v>
          </cell>
          <cell r="L25">
            <v>43.27</v>
          </cell>
          <cell r="M25">
            <v>16389967</v>
          </cell>
          <cell r="N25">
            <v>22445612</v>
          </cell>
          <cell r="O25">
            <v>-26.98</v>
          </cell>
          <cell r="P25">
            <v>7604.55</v>
          </cell>
          <cell r="Q25">
            <v>8301.205</v>
          </cell>
          <cell r="R25">
            <v>-8.39</v>
          </cell>
          <cell r="S25">
            <v>255303</v>
          </cell>
          <cell r="T25">
            <v>205225</v>
          </cell>
          <cell r="U25">
            <v>24.4</v>
          </cell>
        </row>
        <row r="26">
          <cell r="B26" t="str">
            <v>锰硅SM</v>
          </cell>
          <cell r="C26">
            <v>3559254</v>
          </cell>
          <cell r="D26">
            <v>6968746</v>
          </cell>
          <cell r="E26">
            <v>-48.93</v>
          </cell>
          <cell r="F26">
            <v>2046513</v>
          </cell>
          <cell r="G26">
            <v>73.92</v>
          </cell>
          <cell r="H26">
            <v>1550.365</v>
          </cell>
          <cell r="I26">
            <v>2537.45</v>
          </cell>
          <cell r="J26">
            <v>-38.9</v>
          </cell>
          <cell r="K26">
            <v>847.78</v>
          </cell>
          <cell r="L26">
            <v>82.87</v>
          </cell>
          <cell r="M26">
            <v>8124996</v>
          </cell>
          <cell r="N26">
            <v>19391896</v>
          </cell>
          <cell r="O26">
            <v>-58.1</v>
          </cell>
          <cell r="P26">
            <v>3441.175</v>
          </cell>
          <cell r="Q26">
            <v>7062.935</v>
          </cell>
          <cell r="R26">
            <v>-51.28</v>
          </cell>
          <cell r="S26">
            <v>263420</v>
          </cell>
          <cell r="T26">
            <v>245728</v>
          </cell>
          <cell r="U26">
            <v>7.2</v>
          </cell>
        </row>
        <row r="27">
          <cell r="B27" t="str">
            <v>苹果</v>
          </cell>
          <cell r="C27">
            <v>3847539</v>
          </cell>
          <cell r="D27">
            <v>12619879</v>
          </cell>
          <cell r="E27">
            <v>-69.51</v>
          </cell>
          <cell r="F27">
            <v>2618625</v>
          </cell>
          <cell r="G27">
            <v>46.93</v>
          </cell>
          <cell r="H27">
            <v>3542.125</v>
          </cell>
          <cell r="I27">
            <v>7370.8</v>
          </cell>
          <cell r="J27">
            <v>-51.94</v>
          </cell>
          <cell r="K27">
            <v>2385.305</v>
          </cell>
          <cell r="L27">
            <v>48.5</v>
          </cell>
          <cell r="M27">
            <v>10409347</v>
          </cell>
          <cell r="N27">
            <v>27251827</v>
          </cell>
          <cell r="O27">
            <v>-61.8</v>
          </cell>
          <cell r="P27">
            <v>9276.455</v>
          </cell>
          <cell r="Q27">
            <v>16486.315</v>
          </cell>
          <cell r="R27">
            <v>-43.73</v>
          </cell>
          <cell r="S27">
            <v>213147</v>
          </cell>
          <cell r="T27">
            <v>222386</v>
          </cell>
          <cell r="U27">
            <v>-4.15</v>
          </cell>
        </row>
        <row r="28">
          <cell r="B28" t="str">
            <v>红枣</v>
          </cell>
          <cell r="C28">
            <v>385560</v>
          </cell>
          <cell r="D28">
            <v>555525</v>
          </cell>
          <cell r="E28">
            <v>-30.6</v>
          </cell>
          <cell r="F28">
            <v>269735</v>
          </cell>
          <cell r="G28">
            <v>42.94</v>
          </cell>
          <cell r="H28">
            <v>238.185</v>
          </cell>
          <cell r="I28">
            <v>284.11</v>
          </cell>
          <cell r="J28">
            <v>-16.16</v>
          </cell>
          <cell r="K28">
            <v>186.56</v>
          </cell>
          <cell r="L28">
            <v>27.67</v>
          </cell>
          <cell r="M28">
            <v>1159442</v>
          </cell>
          <cell r="N28">
            <v>1446916</v>
          </cell>
          <cell r="O28">
            <v>-19.87</v>
          </cell>
          <cell r="P28">
            <v>756.73</v>
          </cell>
          <cell r="Q28">
            <v>746.04</v>
          </cell>
          <cell r="R28">
            <v>1.43</v>
          </cell>
          <cell r="S28">
            <v>51955</v>
          </cell>
          <cell r="T28">
            <v>58739</v>
          </cell>
          <cell r="U28">
            <v>-11.55</v>
          </cell>
        </row>
        <row r="29">
          <cell r="B29" t="str">
            <v>尿素</v>
          </cell>
          <cell r="C29">
            <v>2094168</v>
          </cell>
          <cell r="D29">
            <v>4973036</v>
          </cell>
          <cell r="E29">
            <v>-57.89</v>
          </cell>
          <cell r="F29">
            <v>1350693</v>
          </cell>
          <cell r="G29">
            <v>55.04</v>
          </cell>
          <cell r="H29">
            <v>1138.74</v>
          </cell>
          <cell r="I29">
            <v>1914.5</v>
          </cell>
          <cell r="J29">
            <v>-40.52</v>
          </cell>
          <cell r="K29">
            <v>675.475</v>
          </cell>
          <cell r="L29">
            <v>68.58</v>
          </cell>
          <cell r="M29">
            <v>4927075</v>
          </cell>
          <cell r="N29">
            <v>10157687</v>
          </cell>
          <cell r="O29">
            <v>-51.49</v>
          </cell>
          <cell r="P29">
            <v>2563.945</v>
          </cell>
          <cell r="Q29">
            <v>3976.46</v>
          </cell>
          <cell r="R29">
            <v>-35.52</v>
          </cell>
          <cell r="S29">
            <v>145955</v>
          </cell>
          <cell r="T29">
            <v>132846</v>
          </cell>
          <cell r="U29">
            <v>9.87</v>
          </cell>
        </row>
        <row r="30">
          <cell r="B30" t="str">
            <v>纯碱</v>
          </cell>
          <cell r="C30">
            <v>32964947</v>
          </cell>
          <cell r="D30">
            <v>25663600</v>
          </cell>
          <cell r="E30">
            <v>28.45</v>
          </cell>
          <cell r="F30">
            <v>22239379</v>
          </cell>
          <cell r="G30">
            <v>48.23</v>
          </cell>
          <cell r="H30">
            <v>17785.22</v>
          </cell>
          <cell r="I30">
            <v>9980.875</v>
          </cell>
          <cell r="J30">
            <v>78.19</v>
          </cell>
          <cell r="K30">
            <v>12825.56</v>
          </cell>
          <cell r="L30">
            <v>38.67</v>
          </cell>
          <cell r="M30">
            <v>72062625</v>
          </cell>
          <cell r="N30">
            <v>41043606</v>
          </cell>
          <cell r="O30">
            <v>75.58</v>
          </cell>
          <cell r="P30">
            <v>39247.43</v>
          </cell>
          <cell r="Q30">
            <v>15000.135</v>
          </cell>
          <cell r="R30">
            <v>161.65</v>
          </cell>
          <cell r="S30">
            <v>790322</v>
          </cell>
          <cell r="T30">
            <v>745746</v>
          </cell>
          <cell r="U30">
            <v>5.98</v>
          </cell>
        </row>
        <row r="31">
          <cell r="B31" t="str">
            <v>短纤</v>
          </cell>
          <cell r="C31">
            <v>5068884</v>
          </cell>
          <cell r="D31">
            <v>8454476</v>
          </cell>
          <cell r="E31">
            <v>-40.04</v>
          </cell>
          <cell r="F31">
            <v>2853893</v>
          </cell>
          <cell r="G31">
            <v>77.61</v>
          </cell>
          <cell r="H31">
            <v>1994.42</v>
          </cell>
          <cell r="I31">
            <v>3157.82</v>
          </cell>
          <cell r="J31">
            <v>-36.84</v>
          </cell>
          <cell r="K31">
            <v>1084.41</v>
          </cell>
          <cell r="L31">
            <v>83.92</v>
          </cell>
          <cell r="M31">
            <v>11426015</v>
          </cell>
          <cell r="N31">
            <v>14427554</v>
          </cell>
          <cell r="O31">
            <v>-20.8</v>
          </cell>
          <cell r="P31">
            <v>4372.335</v>
          </cell>
          <cell r="Q31">
            <v>5302.345</v>
          </cell>
          <cell r="R31">
            <v>-17.54</v>
          </cell>
          <cell r="S31">
            <v>253156</v>
          </cell>
          <cell r="T31">
            <v>230823</v>
          </cell>
          <cell r="U31">
            <v>9.68</v>
          </cell>
        </row>
        <row r="32">
          <cell r="B32" t="str">
            <v>花生PK</v>
          </cell>
          <cell r="C32">
            <v>3044657</v>
          </cell>
          <cell r="D32">
            <v>445187</v>
          </cell>
          <cell r="E32">
            <v>583.91</v>
          </cell>
          <cell r="F32">
            <v>2417505</v>
          </cell>
          <cell r="G32">
            <v>25.94</v>
          </cell>
          <cell r="H32">
            <v>1342.99</v>
          </cell>
          <cell r="I32">
            <v>241.78</v>
          </cell>
          <cell r="J32">
            <v>455.46</v>
          </cell>
          <cell r="K32">
            <v>985.98</v>
          </cell>
          <cell r="L32">
            <v>36.21</v>
          </cell>
          <cell r="M32">
            <v>7891876</v>
          </cell>
          <cell r="N32">
            <v>2728177</v>
          </cell>
          <cell r="O32">
            <v>189.27</v>
          </cell>
          <cell r="P32">
            <v>3300.555</v>
          </cell>
          <cell r="Q32">
            <v>1432.81</v>
          </cell>
          <cell r="R32">
            <v>130.36</v>
          </cell>
          <cell r="S32">
            <v>77519</v>
          </cell>
          <cell r="T32">
            <v>183475</v>
          </cell>
          <cell r="U32">
            <v>-57.75</v>
          </cell>
        </row>
        <row r="33">
          <cell r="B33" t="str">
            <v>总额</v>
          </cell>
          <cell r="C33">
            <v>209239926</v>
          </cell>
          <cell r="D33">
            <v>280333390</v>
          </cell>
          <cell r="E33">
            <v>-25.36</v>
          </cell>
          <cell r="F33">
            <v>137099163</v>
          </cell>
          <cell r="G33">
            <v>52.62</v>
          </cell>
          <cell r="H33">
            <v>92021.525</v>
          </cell>
          <cell r="I33">
            <v>109073.54</v>
          </cell>
          <cell r="J33">
            <v>-15.63</v>
          </cell>
          <cell r="K33">
            <v>61146.605</v>
          </cell>
          <cell r="L33">
            <v>50.49</v>
          </cell>
          <cell r="M33">
            <v>490605040</v>
          </cell>
          <cell r="N33">
            <v>634001867</v>
          </cell>
          <cell r="O33">
            <v>-22.62</v>
          </cell>
          <cell r="P33">
            <v>213943.67</v>
          </cell>
          <cell r="Q33">
            <v>240659.91</v>
          </cell>
          <cell r="R33">
            <v>-11.1</v>
          </cell>
          <cell r="S33">
            <v>9234093</v>
          </cell>
          <cell r="T33">
            <v>9180422</v>
          </cell>
          <cell r="U33">
            <v>0.58</v>
          </cell>
        </row>
      </sheetData>
      <sheetData sheetId="5">
        <row r="2">
          <cell r="N2" t="str">
            <v>交易日期：</v>
          </cell>
          <cell r="O2" t="str">
            <v>202203</v>
          </cell>
        </row>
        <row r="3">
          <cell r="B3" t="str">
            <v>品种名称</v>
          </cell>
          <cell r="C3" t="str">
            <v>本月成交量(手)</v>
          </cell>
          <cell r="D3" t="str">
            <v>去年同期成交量(手)</v>
          </cell>
          <cell r="E3" t="str">
            <v>同比增减(%)</v>
          </cell>
          <cell r="F3" t="str">
            <v>上月成交量(手)</v>
          </cell>
          <cell r="G3" t="str">
            <v>环比增减(%)</v>
          </cell>
          <cell r="H3" t="str">
            <v>本月成交量占全国份额(%)</v>
          </cell>
          <cell r="I3" t="str">
            <v>本月成交额(亿元)</v>
          </cell>
          <cell r="J3" t="str">
            <v>去年同期成交额(亿元)</v>
          </cell>
          <cell r="K3" t="str">
            <v>同比增减(%)</v>
          </cell>
          <cell r="L3" t="str">
            <v>上月成交额(亿元)</v>
          </cell>
          <cell r="M3" t="str">
            <v>环比增减(%)</v>
          </cell>
          <cell r="N3" t="str">
            <v>本月成交额占全国份额(%)</v>
          </cell>
          <cell r="O3" t="str">
            <v>今年累计成交总量(手)</v>
          </cell>
          <cell r="P3" t="str">
            <v>去年同期成交总量(手)</v>
          </cell>
          <cell r="Q3" t="str">
            <v>同比增减(%)</v>
          </cell>
          <cell r="R3" t="str">
            <v>今年累计成交总量占全国份额(%)</v>
          </cell>
          <cell r="S3" t="str">
            <v>今年累计成交总额(亿元)</v>
          </cell>
          <cell r="T3" t="str">
            <v>去年同期成交总额(亿元)</v>
          </cell>
          <cell r="U3" t="str">
            <v>同比增减(%)</v>
          </cell>
          <cell r="V3" t="str">
            <v>今年累计成交总额占全国份额(%)</v>
          </cell>
          <cell r="W3" t="str">
            <v>本月月末持仓量</v>
          </cell>
          <cell r="X3" t="str">
            <v>本月月末持仓量占全国份额(%)</v>
          </cell>
          <cell r="Y3" t="str">
            <v>上月月末持仓量</v>
          </cell>
          <cell r="Z3" t="str">
            <v>环比增减(%)</v>
          </cell>
        </row>
        <row r="4">
          <cell r="B4" t="str">
            <v>豆一</v>
          </cell>
          <cell r="C4">
            <v>3431400</v>
          </cell>
          <cell r="D4">
            <v>4755970</v>
          </cell>
          <cell r="E4">
            <v>-27.8506803028614</v>
          </cell>
          <cell r="F4">
            <v>3301394</v>
          </cell>
          <cell r="G4">
            <v>3.93791228796079</v>
          </cell>
          <cell r="H4" t="str">
            <v>-</v>
          </cell>
          <cell r="I4">
            <v>2127.4524468</v>
          </cell>
          <cell r="J4">
            <v>2822.0462182</v>
          </cell>
          <cell r="K4">
            <v>-24.6131252890336</v>
          </cell>
          <cell r="L4">
            <v>2037.6512897</v>
          </cell>
          <cell r="M4">
            <v>4.40709151531131</v>
          </cell>
          <cell r="N4" t="str">
            <v>-</v>
          </cell>
          <cell r="O4">
            <v>10348600</v>
          </cell>
          <cell r="P4">
            <v>10850803</v>
          </cell>
          <cell r="Q4">
            <v>-4.62825654469996</v>
          </cell>
          <cell r="R4" t="str">
            <v>-</v>
          </cell>
          <cell r="S4">
            <v>6309.426825</v>
          </cell>
          <cell r="T4">
            <v>6333.8729327</v>
          </cell>
          <cell r="U4">
            <v>-0.385958290602761</v>
          </cell>
          <cell r="V4" t="str">
            <v>-</v>
          </cell>
          <cell r="W4">
            <v>197585</v>
          </cell>
          <cell r="X4" t="str">
            <v>-</v>
          </cell>
          <cell r="Y4">
            <v>169002</v>
          </cell>
          <cell r="Z4">
            <v>16.9128175997917</v>
          </cell>
        </row>
        <row r="5">
          <cell r="B5" t="str">
            <v>豆二</v>
          </cell>
          <cell r="C5">
            <v>1654642</v>
          </cell>
          <cell r="D5">
            <v>2160816</v>
          </cell>
          <cell r="E5">
            <v>-23.4251319871752</v>
          </cell>
          <cell r="F5">
            <v>1431359</v>
          </cell>
          <cell r="G5">
            <v>15.5993709474702</v>
          </cell>
          <cell r="H5" t="str">
            <v>-</v>
          </cell>
          <cell r="I5">
            <v>857.9478483</v>
          </cell>
          <cell r="J5">
            <v>897.7399942</v>
          </cell>
          <cell r="K5">
            <v>-4.43248002284445</v>
          </cell>
          <cell r="L5">
            <v>712.1089513</v>
          </cell>
          <cell r="M5">
            <v>20.4798572934327</v>
          </cell>
          <cell r="N5" t="str">
            <v>-</v>
          </cell>
          <cell r="O5">
            <v>4018180</v>
          </cell>
          <cell r="P5">
            <v>5084917</v>
          </cell>
          <cell r="Q5">
            <v>-20.9784545155801</v>
          </cell>
          <cell r="R5" t="str">
            <v>-</v>
          </cell>
          <cell r="S5">
            <v>1974.6487162</v>
          </cell>
          <cell r="T5">
            <v>2144.9174451</v>
          </cell>
          <cell r="U5">
            <v>-7.93824159941324</v>
          </cell>
          <cell r="V5" t="str">
            <v>-</v>
          </cell>
          <cell r="W5">
            <v>38239</v>
          </cell>
          <cell r="X5" t="str">
            <v>-</v>
          </cell>
          <cell r="Y5">
            <v>41756</v>
          </cell>
          <cell r="Z5">
            <v>-8.42274164191973</v>
          </cell>
        </row>
        <row r="6">
          <cell r="B6" t="str">
            <v>胶合板</v>
          </cell>
          <cell r="C6">
            <v>14</v>
          </cell>
          <cell r="D6">
            <v>0</v>
          </cell>
          <cell r="E6" t="str">
            <v>-</v>
          </cell>
          <cell r="F6">
            <v>0</v>
          </cell>
          <cell r="G6" t="str">
            <v>-</v>
          </cell>
          <cell r="H6" t="str">
            <v>-</v>
          </cell>
          <cell r="I6">
            <v>0.028332</v>
          </cell>
          <cell r="J6">
            <v>0</v>
          </cell>
          <cell r="K6" t="str">
            <v>-</v>
          </cell>
          <cell r="L6">
            <v>0</v>
          </cell>
          <cell r="M6" t="str">
            <v>-</v>
          </cell>
          <cell r="N6" t="str">
            <v>-</v>
          </cell>
          <cell r="O6">
            <v>14</v>
          </cell>
          <cell r="P6">
            <v>0</v>
          </cell>
          <cell r="Q6" t="str">
            <v>-</v>
          </cell>
          <cell r="R6" t="str">
            <v>-</v>
          </cell>
          <cell r="S6">
            <v>0.028332</v>
          </cell>
          <cell r="T6">
            <v>0</v>
          </cell>
          <cell r="U6" t="str">
            <v>-</v>
          </cell>
          <cell r="V6" t="str">
            <v>-</v>
          </cell>
          <cell r="W6">
            <v>0</v>
          </cell>
          <cell r="X6" t="str">
            <v>-</v>
          </cell>
          <cell r="Y6">
            <v>0</v>
          </cell>
          <cell r="Z6" t="str">
            <v>-</v>
          </cell>
        </row>
        <row r="7">
          <cell r="B7" t="str">
            <v>玉米</v>
          </cell>
          <cell r="C7">
            <v>15884251</v>
          </cell>
          <cell r="D7">
            <v>19382934</v>
          </cell>
          <cell r="E7">
            <v>-18.0503271589327</v>
          </cell>
          <cell r="F7">
            <v>10781633</v>
          </cell>
          <cell r="G7">
            <v>47.3269494519059</v>
          </cell>
          <cell r="H7" t="str">
            <v>-</v>
          </cell>
          <cell r="I7">
            <v>4602.3622125</v>
          </cell>
          <cell r="J7">
            <v>5259.4912258</v>
          </cell>
          <cell r="K7">
            <v>-12.4941555197679</v>
          </cell>
          <cell r="L7">
            <v>3011.9369069</v>
          </cell>
          <cell r="M7">
            <v>52.8040710931401</v>
          </cell>
          <cell r="N7" t="str">
            <v>-</v>
          </cell>
          <cell r="O7">
            <v>37408610</v>
          </cell>
          <cell r="P7">
            <v>51257081</v>
          </cell>
          <cell r="Q7">
            <v>-27.0176739092888</v>
          </cell>
          <cell r="R7" t="str">
            <v>-</v>
          </cell>
          <cell r="S7">
            <v>10536.6496822</v>
          </cell>
          <cell r="T7">
            <v>14181.6850422</v>
          </cell>
          <cell r="U7">
            <v>-25.7024137058014</v>
          </cell>
          <cell r="V7" t="str">
            <v>-</v>
          </cell>
          <cell r="W7">
            <v>1798374</v>
          </cell>
          <cell r="X7" t="str">
            <v>-</v>
          </cell>
          <cell r="Y7">
            <v>1804874</v>
          </cell>
          <cell r="Z7">
            <v>-0.360135943007656</v>
          </cell>
        </row>
        <row r="8">
          <cell r="B8" t="str">
            <v>玉米淀粉</v>
          </cell>
          <cell r="C8">
            <v>5738648</v>
          </cell>
          <cell r="D8">
            <v>5393539</v>
          </cell>
          <cell r="E8">
            <v>6.39856316974809</v>
          </cell>
          <cell r="F8">
            <v>3875521</v>
          </cell>
          <cell r="G8">
            <v>48.074233116012</v>
          </cell>
          <cell r="H8" t="str">
            <v>-</v>
          </cell>
          <cell r="I8">
            <v>1955.699355</v>
          </cell>
          <cell r="J8">
            <v>1745.6706971</v>
          </cell>
          <cell r="K8">
            <v>12.0314019275749</v>
          </cell>
          <cell r="L8">
            <v>1246.5613816</v>
          </cell>
          <cell r="M8">
            <v>56.8875294764707</v>
          </cell>
          <cell r="N8" t="str">
            <v>-</v>
          </cell>
          <cell r="O8">
            <v>13065247</v>
          </cell>
          <cell r="P8">
            <v>12999603</v>
          </cell>
          <cell r="Q8">
            <v>0.504969267138389</v>
          </cell>
          <cell r="R8" t="str">
            <v>-</v>
          </cell>
          <cell r="S8">
            <v>4275.1191626</v>
          </cell>
          <cell r="T8">
            <v>4189.7687058</v>
          </cell>
          <cell r="U8">
            <v>2.0371161940717</v>
          </cell>
          <cell r="V8" t="str">
            <v>-</v>
          </cell>
          <cell r="W8">
            <v>360015</v>
          </cell>
          <cell r="X8" t="str">
            <v>-</v>
          </cell>
          <cell r="Y8">
            <v>393209</v>
          </cell>
          <cell r="Z8">
            <v>-8.44182101630431</v>
          </cell>
        </row>
        <row r="9">
          <cell r="B9" t="str">
            <v>苯乙烯</v>
          </cell>
          <cell r="C9">
            <v>5558645</v>
          </cell>
          <cell r="D9">
            <v>8340800</v>
          </cell>
          <cell r="E9">
            <v>-33.3559730481489</v>
          </cell>
          <cell r="F9">
            <v>4109785</v>
          </cell>
          <cell r="G9">
            <v>35.2539123092814</v>
          </cell>
          <cell r="H9" t="str">
            <v>-</v>
          </cell>
          <cell r="I9">
            <v>2719.7340447</v>
          </cell>
          <cell r="J9">
            <v>3686.89712385</v>
          </cell>
          <cell r="K9">
            <v>-26.2324400888097</v>
          </cell>
          <cell r="L9">
            <v>1872.4675287</v>
          </cell>
          <cell r="M9">
            <v>45.2486626877975</v>
          </cell>
          <cell r="N9" t="str">
            <v>-</v>
          </cell>
          <cell r="O9">
            <v>15350286</v>
          </cell>
          <cell r="P9">
            <v>22759981</v>
          </cell>
          <cell r="Q9">
            <v>-32.5558048576578</v>
          </cell>
          <cell r="R9" t="str">
            <v>-</v>
          </cell>
          <cell r="S9">
            <v>7046.4596213</v>
          </cell>
          <cell r="T9">
            <v>9249.4175827</v>
          </cell>
          <cell r="U9">
            <v>-23.8172613756826</v>
          </cell>
          <cell r="V9" t="str">
            <v>-</v>
          </cell>
          <cell r="W9">
            <v>183024</v>
          </cell>
          <cell r="X9" t="str">
            <v>-</v>
          </cell>
          <cell r="Y9">
            <v>188312</v>
          </cell>
          <cell r="Z9">
            <v>-2.8081056969285</v>
          </cell>
        </row>
        <row r="10">
          <cell r="B10" t="str">
            <v>乙二醇</v>
          </cell>
          <cell r="C10">
            <v>11232433</v>
          </cell>
          <cell r="D10">
            <v>16739905</v>
          </cell>
          <cell r="E10">
            <v>-32.9002583945369</v>
          </cell>
          <cell r="F10">
            <v>6535773</v>
          </cell>
          <cell r="G10">
            <v>71.8608189115503</v>
          </cell>
          <cell r="H10" t="str">
            <v>-</v>
          </cell>
          <cell r="I10">
            <v>5979.3042316</v>
          </cell>
          <cell r="J10">
            <v>9000.902151</v>
          </cell>
          <cell r="K10">
            <v>-33.5699451978189</v>
          </cell>
          <cell r="L10">
            <v>3391.9219152</v>
          </cell>
          <cell r="M10">
            <v>76.280715803195</v>
          </cell>
          <cell r="N10" t="str">
            <v>-</v>
          </cell>
          <cell r="O10">
            <v>25493188</v>
          </cell>
          <cell r="P10">
            <v>32160009</v>
          </cell>
          <cell r="Q10">
            <v>-20.7301589996446</v>
          </cell>
          <cell r="R10" t="str">
            <v>-</v>
          </cell>
          <cell r="S10">
            <v>13430.4637088</v>
          </cell>
          <cell r="T10">
            <v>16426.8316236</v>
          </cell>
          <cell r="U10">
            <v>-18.2406929312844</v>
          </cell>
          <cell r="V10" t="str">
            <v>-</v>
          </cell>
          <cell r="W10">
            <v>450137</v>
          </cell>
          <cell r="X10" t="str">
            <v>-</v>
          </cell>
          <cell r="Y10">
            <v>513596</v>
          </cell>
          <cell r="Z10">
            <v>-12.3558205281973</v>
          </cell>
        </row>
        <row r="11">
          <cell r="B11" t="str">
            <v>纤维板</v>
          </cell>
          <cell r="C11">
            <v>51678</v>
          </cell>
          <cell r="D11">
            <v>333874</v>
          </cell>
          <cell r="E11">
            <v>-84.5217057932034</v>
          </cell>
          <cell r="F11">
            <v>31506</v>
          </cell>
          <cell r="G11">
            <v>64.0258998286041</v>
          </cell>
          <cell r="H11" t="str">
            <v>-</v>
          </cell>
          <cell r="I11">
            <v>7.20037575</v>
          </cell>
          <cell r="J11">
            <v>47.4322162</v>
          </cell>
          <cell r="K11">
            <v>-84.8196514376657</v>
          </cell>
          <cell r="L11">
            <v>4.04909725</v>
          </cell>
          <cell r="M11">
            <v>77.8266933450413</v>
          </cell>
          <cell r="N11" t="str">
            <v>-</v>
          </cell>
          <cell r="O11">
            <v>130251</v>
          </cell>
          <cell r="P11">
            <v>444045</v>
          </cell>
          <cell r="Q11">
            <v>-70.6671621119481</v>
          </cell>
          <cell r="R11" t="str">
            <v>-</v>
          </cell>
          <cell r="S11">
            <v>17.37296935</v>
          </cell>
          <cell r="T11">
            <v>61.5643807</v>
          </cell>
          <cell r="U11">
            <v>-71.7808103444465</v>
          </cell>
          <cell r="V11" t="str">
            <v>-</v>
          </cell>
          <cell r="W11">
            <v>2686</v>
          </cell>
          <cell r="X11" t="str">
            <v>-</v>
          </cell>
          <cell r="Y11">
            <v>1551</v>
          </cell>
          <cell r="Z11">
            <v>73.1785944551902</v>
          </cell>
        </row>
        <row r="12">
          <cell r="B12" t="str">
            <v>铁矿石</v>
          </cell>
          <cell r="C12">
            <v>21308582</v>
          </cell>
          <cell r="D12">
            <v>12237904</v>
          </cell>
          <cell r="E12">
            <v>74.1195387706915</v>
          </cell>
          <cell r="F12">
            <v>15510960</v>
          </cell>
          <cell r="G12">
            <v>37.3775833346228</v>
          </cell>
          <cell r="H12" t="str">
            <v>-</v>
          </cell>
          <cell r="I12">
            <v>17279.006476</v>
          </cell>
          <cell r="J12">
            <v>12649.5658805</v>
          </cell>
          <cell r="K12">
            <v>36.5976242918861</v>
          </cell>
          <cell r="L12">
            <v>11385.4694665</v>
          </cell>
          <cell r="M12">
            <v>51.7636714659929</v>
          </cell>
          <cell r="N12" t="str">
            <v>-</v>
          </cell>
          <cell r="O12">
            <v>52149664</v>
          </cell>
          <cell r="P12">
            <v>27322735</v>
          </cell>
          <cell r="Q12">
            <v>90.8654605770616</v>
          </cell>
          <cell r="R12" t="str">
            <v>-</v>
          </cell>
          <cell r="S12">
            <v>39828.6905145</v>
          </cell>
          <cell r="T12">
            <v>28343.7133925</v>
          </cell>
          <cell r="U12">
            <v>40.5203685309598</v>
          </cell>
          <cell r="V12" t="str">
            <v>-</v>
          </cell>
          <cell r="W12">
            <v>1021951</v>
          </cell>
          <cell r="X12" t="str">
            <v>-</v>
          </cell>
          <cell r="Y12">
            <v>982392</v>
          </cell>
          <cell r="Z12">
            <v>4.02680396420165</v>
          </cell>
        </row>
        <row r="13">
          <cell r="B13" t="str">
            <v>焦炭</v>
          </cell>
          <cell r="C13">
            <v>761641</v>
          </cell>
          <cell r="D13">
            <v>6656263</v>
          </cell>
          <cell r="E13">
            <v>-88.5575284510242</v>
          </cell>
          <cell r="F13">
            <v>643139</v>
          </cell>
          <cell r="G13">
            <v>18.4255658574585</v>
          </cell>
          <cell r="H13" t="str">
            <v>-</v>
          </cell>
          <cell r="I13">
            <v>2755.3146135</v>
          </cell>
          <cell r="J13">
            <v>15335.208893</v>
          </cell>
          <cell r="K13">
            <v>-82.0327546059206</v>
          </cell>
          <cell r="L13">
            <v>2065.9570425</v>
          </cell>
          <cell r="M13">
            <v>33.3674687720425</v>
          </cell>
          <cell r="N13" t="str">
            <v>-</v>
          </cell>
          <cell r="O13">
            <v>2077557</v>
          </cell>
          <cell r="P13">
            <v>16922152</v>
          </cell>
          <cell r="Q13">
            <v>-87.722855816447</v>
          </cell>
          <cell r="R13" t="str">
            <v>-</v>
          </cell>
          <cell r="S13">
            <v>6870.540831</v>
          </cell>
          <cell r="T13">
            <v>43253.2923755</v>
          </cell>
          <cell r="U13">
            <v>-84.1155656513868</v>
          </cell>
          <cell r="V13" t="str">
            <v>-</v>
          </cell>
          <cell r="W13">
            <v>37136</v>
          </cell>
          <cell r="X13" t="str">
            <v>-</v>
          </cell>
          <cell r="Y13">
            <v>36037</v>
          </cell>
          <cell r="Z13">
            <v>3.04964342203846</v>
          </cell>
        </row>
        <row r="14">
          <cell r="B14" t="str">
            <v>鸡蛋</v>
          </cell>
          <cell r="C14">
            <v>2456699</v>
          </cell>
          <cell r="D14">
            <v>8513475</v>
          </cell>
          <cell r="E14">
            <v>-71.1434050138163</v>
          </cell>
          <cell r="F14">
            <v>1607141</v>
          </cell>
          <cell r="G14">
            <v>52.8614477510063</v>
          </cell>
          <cell r="H14" t="str">
            <v>-</v>
          </cell>
          <cell r="I14">
            <v>1085.9569524</v>
          </cell>
          <cell r="J14">
            <v>3790.325482</v>
          </cell>
          <cell r="K14">
            <v>-71.3492427614162</v>
          </cell>
          <cell r="L14">
            <v>687.9614249</v>
          </cell>
          <cell r="M14">
            <v>57.85143077722</v>
          </cell>
          <cell r="N14" t="str">
            <v>-</v>
          </cell>
          <cell r="O14">
            <v>6415795</v>
          </cell>
          <cell r="P14">
            <v>23210072</v>
          </cell>
          <cell r="Q14">
            <v>-72.3577117727166</v>
          </cell>
          <cell r="R14" t="str">
            <v>-</v>
          </cell>
          <cell r="S14">
            <v>2736.4086634</v>
          </cell>
          <cell r="T14">
            <v>10235.5674233</v>
          </cell>
          <cell r="U14">
            <v>-73.2656866958748</v>
          </cell>
          <cell r="V14" t="str">
            <v>-</v>
          </cell>
          <cell r="W14">
            <v>169221</v>
          </cell>
          <cell r="X14" t="str">
            <v>-</v>
          </cell>
          <cell r="Y14">
            <v>223894</v>
          </cell>
          <cell r="Z14">
            <v>-24.4191447738662</v>
          </cell>
        </row>
        <row r="15">
          <cell r="B15" t="str">
            <v>焦煤</v>
          </cell>
          <cell r="C15">
            <v>1314943</v>
          </cell>
          <cell r="D15">
            <v>5348170</v>
          </cell>
          <cell r="E15">
            <v>-75.4132161094356</v>
          </cell>
          <cell r="F15">
            <v>881498</v>
          </cell>
          <cell r="G15">
            <v>49.1714104853329</v>
          </cell>
          <cell r="H15" t="str">
            <v>-</v>
          </cell>
          <cell r="I15">
            <v>2341.2980028</v>
          </cell>
          <cell r="J15">
            <v>4929.155271</v>
          </cell>
          <cell r="K15">
            <v>-52.501029606945</v>
          </cell>
          <cell r="L15">
            <v>1318.4741874</v>
          </cell>
          <cell r="M15">
            <v>77.5763246011653</v>
          </cell>
          <cell r="N15" t="str">
            <v>-</v>
          </cell>
          <cell r="O15">
            <v>3043574</v>
          </cell>
          <cell r="P15">
            <v>13056928</v>
          </cell>
          <cell r="Q15">
            <v>-76.689968727713</v>
          </cell>
          <cell r="R15" t="str">
            <v>-</v>
          </cell>
          <cell r="S15">
            <v>4816.0000188</v>
          </cell>
          <cell r="T15">
            <v>12395.8880985</v>
          </cell>
          <cell r="U15">
            <v>-61.1484067899679</v>
          </cell>
          <cell r="V15" t="str">
            <v>-</v>
          </cell>
          <cell r="W15">
            <v>59481</v>
          </cell>
          <cell r="X15" t="str">
            <v>-</v>
          </cell>
          <cell r="Y15">
            <v>50353</v>
          </cell>
          <cell r="Z15">
            <v>18.1280162055885</v>
          </cell>
        </row>
        <row r="16">
          <cell r="B16" t="str">
            <v>聚乙烯</v>
          </cell>
          <cell r="C16">
            <v>14416752</v>
          </cell>
          <cell r="D16">
            <v>15039995</v>
          </cell>
          <cell r="E16">
            <v>-4.14390430315967</v>
          </cell>
          <cell r="F16">
            <v>10017038</v>
          </cell>
          <cell r="G16">
            <v>43.9223051764404</v>
          </cell>
          <cell r="H16" t="str">
            <v>-</v>
          </cell>
          <cell r="I16">
            <v>6600.4805976</v>
          </cell>
          <cell r="J16">
            <v>6632.3686735</v>
          </cell>
          <cell r="K16">
            <v>-0.48079468240978</v>
          </cell>
          <cell r="L16">
            <v>4476.7502302</v>
          </cell>
          <cell r="M16">
            <v>47.4391077946093</v>
          </cell>
          <cell r="N16" t="str">
            <v>-</v>
          </cell>
          <cell r="O16">
            <v>34875908</v>
          </cell>
          <cell r="P16">
            <v>30599472</v>
          </cell>
          <cell r="Q16">
            <v>13.9755221920169</v>
          </cell>
          <cell r="R16" t="str">
            <v>-</v>
          </cell>
          <cell r="S16">
            <v>15682.95006845</v>
          </cell>
          <cell r="T16">
            <v>12927.2601945</v>
          </cell>
          <cell r="U16">
            <v>21.316890296077</v>
          </cell>
          <cell r="V16" t="str">
            <v>-</v>
          </cell>
          <cell r="W16">
            <v>608524</v>
          </cell>
          <cell r="X16" t="str">
            <v>-</v>
          </cell>
          <cell r="Y16">
            <v>623019</v>
          </cell>
          <cell r="Z16">
            <v>-2.32657430993276</v>
          </cell>
        </row>
        <row r="17">
          <cell r="B17" t="str">
            <v>生猪</v>
          </cell>
          <cell r="C17">
            <v>982639</v>
          </cell>
          <cell r="D17">
            <v>114297</v>
          </cell>
          <cell r="E17">
            <v>759.724227232561</v>
          </cell>
          <cell r="F17">
            <v>600417</v>
          </cell>
          <cell r="G17">
            <v>63.6594233674263</v>
          </cell>
          <cell r="H17" t="str">
            <v>-</v>
          </cell>
          <cell r="I17">
            <v>2256.348476</v>
          </cell>
          <cell r="J17">
            <v>512.2110728</v>
          </cell>
          <cell r="K17">
            <v>340.511460180991</v>
          </cell>
          <cell r="L17">
            <v>1379.891192</v>
          </cell>
          <cell r="M17">
            <v>63.5164054297406</v>
          </cell>
          <cell r="N17" t="str">
            <v>-</v>
          </cell>
          <cell r="O17">
            <v>2090581</v>
          </cell>
          <cell r="P17">
            <v>632898</v>
          </cell>
          <cell r="Q17">
            <v>230.318787545544</v>
          </cell>
          <cell r="R17" t="str">
            <v>-</v>
          </cell>
          <cell r="S17">
            <v>4799.727464</v>
          </cell>
          <cell r="T17">
            <v>2704.7411312</v>
          </cell>
          <cell r="U17">
            <v>77.4560755051086</v>
          </cell>
          <cell r="V17" t="str">
            <v>-</v>
          </cell>
          <cell r="W17">
            <v>118566</v>
          </cell>
          <cell r="X17" t="str">
            <v>-</v>
          </cell>
          <cell r="Y17">
            <v>103474</v>
          </cell>
          <cell r="Z17">
            <v>14.5853064537952</v>
          </cell>
        </row>
        <row r="18">
          <cell r="B18" t="str">
            <v>豆粕</v>
          </cell>
          <cell r="C18">
            <v>55353442</v>
          </cell>
          <cell r="D18">
            <v>42813537</v>
          </cell>
          <cell r="E18">
            <v>29.2895796018909</v>
          </cell>
          <cell r="F18">
            <v>32099229</v>
          </cell>
          <cell r="G18">
            <v>72.4447711812642</v>
          </cell>
          <cell r="H18" t="str">
            <v>-</v>
          </cell>
          <cell r="I18">
            <v>22775.5659753</v>
          </cell>
          <cell r="J18">
            <v>14249.7632195</v>
          </cell>
          <cell r="K18">
            <v>59.831188943076</v>
          </cell>
          <cell r="L18">
            <v>12183.9433273</v>
          </cell>
          <cell r="M18">
            <v>86.9309907595174</v>
          </cell>
          <cell r="N18" t="str">
            <v>-</v>
          </cell>
          <cell r="O18">
            <v>108688473</v>
          </cell>
          <cell r="P18">
            <v>113918631</v>
          </cell>
          <cell r="Q18">
            <v>-4.59113487766545</v>
          </cell>
          <cell r="R18" t="str">
            <v>-</v>
          </cell>
          <cell r="S18">
            <v>41872.7088585</v>
          </cell>
          <cell r="T18">
            <v>39432.9728006</v>
          </cell>
          <cell r="U18">
            <v>6.18704572500017</v>
          </cell>
          <cell r="V18" t="str">
            <v>-</v>
          </cell>
          <cell r="W18">
            <v>2589737</v>
          </cell>
          <cell r="X18" t="str">
            <v>-</v>
          </cell>
          <cell r="Y18">
            <v>2541733</v>
          </cell>
          <cell r="Z18">
            <v>1.88863267699637</v>
          </cell>
        </row>
        <row r="19">
          <cell r="B19" t="str">
            <v>棕榈油</v>
          </cell>
          <cell r="C19">
            <v>25985420</v>
          </cell>
          <cell r="D19">
            <v>18823344</v>
          </cell>
          <cell r="E19">
            <v>38.0489035316998</v>
          </cell>
          <cell r="F19">
            <v>16165779</v>
          </cell>
          <cell r="G19">
            <v>60.7433826727435</v>
          </cell>
          <cell r="H19" t="str">
            <v>-</v>
          </cell>
          <cell r="I19">
            <v>29671.2573774</v>
          </cell>
          <cell r="J19">
            <v>14270.3663288</v>
          </cell>
          <cell r="K19">
            <v>107.922184292623</v>
          </cell>
          <cell r="L19">
            <v>16969.1826322</v>
          </cell>
          <cell r="M19">
            <v>74.853780647614</v>
          </cell>
          <cell r="N19" t="str">
            <v>-</v>
          </cell>
          <cell r="O19">
            <v>56677927</v>
          </cell>
          <cell r="P19">
            <v>43299737</v>
          </cell>
          <cell r="Q19">
            <v>30.8967003656396</v>
          </cell>
          <cell r="R19" t="str">
            <v>-</v>
          </cell>
          <cell r="S19">
            <v>59950.7372144</v>
          </cell>
          <cell r="T19">
            <v>31086.0150652</v>
          </cell>
          <cell r="U19">
            <v>92.8543658254651</v>
          </cell>
          <cell r="V19" t="str">
            <v>-</v>
          </cell>
          <cell r="W19">
            <v>597873</v>
          </cell>
          <cell r="X19" t="str">
            <v>-</v>
          </cell>
          <cell r="Y19">
            <v>698918</v>
          </cell>
          <cell r="Z19">
            <v>-14.4573469276796</v>
          </cell>
        </row>
        <row r="20">
          <cell r="B20" t="str">
            <v>液化石油气</v>
          </cell>
          <cell r="C20">
            <v>4627641</v>
          </cell>
          <cell r="D20">
            <v>2183424</v>
          </cell>
          <cell r="E20">
            <v>111.944221552937</v>
          </cell>
          <cell r="F20">
            <v>3972511</v>
          </cell>
          <cell r="G20">
            <v>16.4915842901379</v>
          </cell>
          <cell r="H20" t="str">
            <v>-</v>
          </cell>
          <cell r="I20">
            <v>5823.222933</v>
          </cell>
          <cell r="J20">
            <v>1714.278073</v>
          </cell>
          <cell r="K20">
            <v>239.689518562722</v>
          </cell>
          <cell r="L20">
            <v>4266.9717286</v>
          </cell>
          <cell r="M20">
            <v>36.4720298934488</v>
          </cell>
          <cell r="N20" t="str">
            <v>-</v>
          </cell>
          <cell r="O20">
            <v>13625303</v>
          </cell>
          <cell r="P20">
            <v>6645159</v>
          </cell>
          <cell r="Q20">
            <v>105.041038145212</v>
          </cell>
          <cell r="R20" t="str">
            <v>-</v>
          </cell>
          <cell r="S20">
            <v>14871.2345398</v>
          </cell>
          <cell r="T20">
            <v>4997.454712</v>
          </cell>
          <cell r="U20">
            <v>197.57617420906</v>
          </cell>
          <cell r="V20" t="str">
            <v>-</v>
          </cell>
          <cell r="W20">
            <v>104046</v>
          </cell>
          <cell r="X20" t="str">
            <v>-</v>
          </cell>
          <cell r="Y20">
            <v>111246</v>
          </cell>
          <cell r="Z20">
            <v>-6.4721428186182</v>
          </cell>
        </row>
        <row r="21">
          <cell r="B21" t="str">
            <v>聚丙烯</v>
          </cell>
          <cell r="C21">
            <v>19550771</v>
          </cell>
          <cell r="D21">
            <v>17864892</v>
          </cell>
          <cell r="E21">
            <v>9.43682726993256</v>
          </cell>
          <cell r="F21">
            <v>11859735</v>
          </cell>
          <cell r="G21">
            <v>64.8499818925128</v>
          </cell>
          <cell r="H21" t="str">
            <v>-</v>
          </cell>
          <cell r="I21">
            <v>8829.424034</v>
          </cell>
          <cell r="J21">
            <v>8153.01153555</v>
          </cell>
          <cell r="K21">
            <v>8.29647419852901</v>
          </cell>
          <cell r="L21">
            <v>5066.0075935</v>
          </cell>
          <cell r="M21">
            <v>74.287619413139</v>
          </cell>
          <cell r="N21" t="str">
            <v>-</v>
          </cell>
          <cell r="O21">
            <v>44553296</v>
          </cell>
          <cell r="P21">
            <v>41614065</v>
          </cell>
          <cell r="Q21">
            <v>7.06307110348388</v>
          </cell>
          <cell r="R21" t="str">
            <v>-</v>
          </cell>
          <cell r="S21">
            <v>19423.0479756</v>
          </cell>
          <cell r="T21">
            <v>18086.7262165</v>
          </cell>
          <cell r="U21">
            <v>7.3884114963874</v>
          </cell>
          <cell r="V21" t="str">
            <v>-</v>
          </cell>
          <cell r="W21">
            <v>614547</v>
          </cell>
          <cell r="X21" t="str">
            <v>-</v>
          </cell>
          <cell r="Y21">
            <v>685000</v>
          </cell>
          <cell r="Z21">
            <v>-10.2851094890511</v>
          </cell>
        </row>
        <row r="22">
          <cell r="B22" t="str">
            <v>粳米</v>
          </cell>
          <cell r="C22">
            <v>317906</v>
          </cell>
          <cell r="D22">
            <v>737923</v>
          </cell>
          <cell r="E22">
            <v>-56.9188113122914</v>
          </cell>
          <cell r="F22">
            <v>211140</v>
          </cell>
          <cell r="G22">
            <v>50.5664488017429</v>
          </cell>
          <cell r="H22" t="str">
            <v>-</v>
          </cell>
          <cell r="I22">
            <v>110.0935033</v>
          </cell>
          <cell r="J22">
            <v>267.200375</v>
          </cell>
          <cell r="K22">
            <v>-58.7973994048474</v>
          </cell>
          <cell r="L22">
            <v>72.9006324</v>
          </cell>
          <cell r="M22">
            <v>51.0185847166944</v>
          </cell>
          <cell r="N22" t="str">
            <v>-</v>
          </cell>
          <cell r="O22">
            <v>792549</v>
          </cell>
          <cell r="P22">
            <v>1868983</v>
          </cell>
          <cell r="Q22">
            <v>-57.5946383674972</v>
          </cell>
          <cell r="R22" t="str">
            <v>-</v>
          </cell>
          <cell r="S22">
            <v>272.0103347</v>
          </cell>
          <cell r="T22">
            <v>682.4004733</v>
          </cell>
          <cell r="U22">
            <v>-60.1391931361663</v>
          </cell>
          <cell r="V22" t="str">
            <v>-</v>
          </cell>
          <cell r="W22">
            <v>29503</v>
          </cell>
          <cell r="X22" t="str">
            <v>-</v>
          </cell>
          <cell r="Y22">
            <v>25398</v>
          </cell>
          <cell r="Z22">
            <v>16.1626899755886</v>
          </cell>
        </row>
        <row r="23">
          <cell r="B23" t="str">
            <v>聚氯乙烯</v>
          </cell>
          <cell r="C23">
            <v>24025539</v>
          </cell>
          <cell r="D23">
            <v>15473500</v>
          </cell>
          <cell r="E23">
            <v>55.268937215239</v>
          </cell>
          <cell r="F23">
            <v>17838468</v>
          </cell>
          <cell r="G23">
            <v>34.6838697134754</v>
          </cell>
          <cell r="H23" t="str">
            <v>-</v>
          </cell>
          <cell r="I23">
            <v>10866.6144571</v>
          </cell>
          <cell r="J23">
            <v>6742.50923575</v>
          </cell>
          <cell r="K23">
            <v>61.1657333664929</v>
          </cell>
          <cell r="L23">
            <v>7870.47861365</v>
          </cell>
          <cell r="M23">
            <v>38.0680259807036</v>
          </cell>
          <cell r="N23" t="str">
            <v>-</v>
          </cell>
          <cell r="O23">
            <v>62454484</v>
          </cell>
          <cell r="P23">
            <v>29227053</v>
          </cell>
          <cell r="Q23">
            <v>113.687243801145</v>
          </cell>
          <cell r="R23" t="str">
            <v>-</v>
          </cell>
          <cell r="S23">
            <v>27604.6950166</v>
          </cell>
          <cell r="T23">
            <v>11990.38031275</v>
          </cell>
          <cell r="U23">
            <v>130.223681789697</v>
          </cell>
          <cell r="V23" t="str">
            <v>-</v>
          </cell>
          <cell r="W23">
            <v>729140</v>
          </cell>
          <cell r="X23" t="str">
            <v>-</v>
          </cell>
          <cell r="Y23">
            <v>701465</v>
          </cell>
          <cell r="Z23">
            <v>3.94531444904593</v>
          </cell>
        </row>
        <row r="24">
          <cell r="B24" t="str">
            <v>豆油</v>
          </cell>
          <cell r="C24">
            <v>18777212</v>
          </cell>
          <cell r="D24">
            <v>23734056</v>
          </cell>
          <cell r="E24">
            <v>-20.8849427169128</v>
          </cell>
          <cell r="F24">
            <v>15286050</v>
          </cell>
          <cell r="G24">
            <v>22.8388759686119</v>
          </cell>
          <cell r="H24" t="str">
            <v>-</v>
          </cell>
          <cell r="I24">
            <v>19762.2780642</v>
          </cell>
          <cell r="J24">
            <v>21049.5702042</v>
          </cell>
          <cell r="K24">
            <v>-6.11552695619005</v>
          </cell>
          <cell r="L24">
            <v>15433.4054496</v>
          </cell>
          <cell r="M24">
            <v>28.0487195696151</v>
          </cell>
          <cell r="N24" t="str">
            <v>-</v>
          </cell>
          <cell r="O24">
            <v>47954074</v>
          </cell>
          <cell r="P24">
            <v>48108170</v>
          </cell>
          <cell r="Q24">
            <v>-0.320311498026216</v>
          </cell>
          <cell r="R24" t="str">
            <v>-</v>
          </cell>
          <cell r="S24">
            <v>47981.3276942</v>
          </cell>
          <cell r="T24">
            <v>40240.0441622</v>
          </cell>
          <cell r="U24">
            <v>19.2377610243079</v>
          </cell>
          <cell r="V24" t="str">
            <v>-</v>
          </cell>
          <cell r="W24">
            <v>739680</v>
          </cell>
          <cell r="X24" t="str">
            <v>-</v>
          </cell>
          <cell r="Y24">
            <v>766503</v>
          </cell>
          <cell r="Z24">
            <v>-3.49939921957253</v>
          </cell>
        </row>
        <row r="25">
          <cell r="B25" t="str">
            <v>期货合计</v>
          </cell>
          <cell r="C25">
            <v>233430898</v>
          </cell>
          <cell r="D25">
            <v>226648618</v>
          </cell>
          <cell r="E25">
            <v>2.99242062883436</v>
          </cell>
          <cell r="F25">
            <v>156760076</v>
          </cell>
          <cell r="G25">
            <v>48.9096611563266</v>
          </cell>
          <cell r="H25" t="str">
            <v>-</v>
          </cell>
          <cell r="I25">
            <v>148406.59030925</v>
          </cell>
          <cell r="J25">
            <v>133755.71387095</v>
          </cell>
          <cell r="K25">
            <v>10.9534583714573</v>
          </cell>
          <cell r="L25">
            <v>95454.0905914</v>
          </cell>
          <cell r="M25">
            <v>55.4743116714799</v>
          </cell>
          <cell r="N25" t="str">
            <v>-</v>
          </cell>
          <cell r="O25">
            <v>541213561</v>
          </cell>
          <cell r="P25">
            <v>531982494</v>
          </cell>
          <cell r="Q25">
            <v>1.73522006910249</v>
          </cell>
          <cell r="R25" t="str">
            <v>-</v>
          </cell>
          <cell r="S25">
            <v>330300.2482114</v>
          </cell>
          <cell r="T25">
            <v>308964.51407085</v>
          </cell>
          <cell r="U25">
            <v>6.90556137319298</v>
          </cell>
          <cell r="V25" t="str">
            <v>-</v>
          </cell>
          <cell r="W25">
            <v>10449465</v>
          </cell>
          <cell r="X25" t="str">
            <v>-</v>
          </cell>
          <cell r="Y25">
            <v>10661732</v>
          </cell>
          <cell r="Z25">
            <v>-1.99092417629706</v>
          </cell>
        </row>
        <row r="26">
          <cell r="B26" t="str">
            <v>玉米期权</v>
          </cell>
          <cell r="C26">
            <v>4321357</v>
          </cell>
          <cell r="D26">
            <v>2005289</v>
          </cell>
          <cell r="E26">
            <v>115.497965629892</v>
          </cell>
          <cell r="F26">
            <v>2441300</v>
          </cell>
          <cell r="G26">
            <v>77.0104862163601</v>
          </cell>
          <cell r="H26" t="str">
            <v>-</v>
          </cell>
          <cell r="I26">
            <v>10.98948975</v>
          </cell>
          <cell r="J26">
            <v>4.6127114</v>
          </cell>
          <cell r="K26">
            <v>138.243601149641</v>
          </cell>
          <cell r="L26">
            <v>6.2740925</v>
          </cell>
          <cell r="M26">
            <v>75.156642175741</v>
          </cell>
          <cell r="N26" t="str">
            <v>-</v>
          </cell>
          <cell r="O26">
            <v>9333759</v>
          </cell>
          <cell r="P26">
            <v>4028230</v>
          </cell>
          <cell r="Q26">
            <v>131.708690913875</v>
          </cell>
          <cell r="R26" t="str">
            <v>-</v>
          </cell>
          <cell r="S26">
            <v>25.2759895</v>
          </cell>
          <cell r="T26">
            <v>13.50893775</v>
          </cell>
          <cell r="U26">
            <v>87.1056774985879</v>
          </cell>
          <cell r="V26" t="str">
            <v>-</v>
          </cell>
          <cell r="W26">
            <v>749231</v>
          </cell>
          <cell r="X26" t="str">
            <v>-</v>
          </cell>
          <cell r="Y26">
            <v>617434</v>
          </cell>
          <cell r="Z26">
            <v>21.3459252324945</v>
          </cell>
        </row>
        <row r="27">
          <cell r="B27" t="str">
            <v>铁矿石期权</v>
          </cell>
          <cell r="C27">
            <v>3484996</v>
          </cell>
          <cell r="D27">
            <v>1647212</v>
          </cell>
          <cell r="E27">
            <v>111.569366906021</v>
          </cell>
          <cell r="F27">
            <v>2538822</v>
          </cell>
          <cell r="G27">
            <v>37.2682291235857</v>
          </cell>
          <cell r="H27" t="str">
            <v>-</v>
          </cell>
          <cell r="I27">
            <v>55.574813</v>
          </cell>
          <cell r="J27">
            <v>38.0124816</v>
          </cell>
          <cell r="K27">
            <v>46.2014860929258</v>
          </cell>
          <cell r="L27">
            <v>43.7080377</v>
          </cell>
          <cell r="M27">
            <v>27.1500985275301</v>
          </cell>
          <cell r="N27" t="str">
            <v>-</v>
          </cell>
          <cell r="O27">
            <v>7599573</v>
          </cell>
          <cell r="P27">
            <v>3015156</v>
          </cell>
          <cell r="Q27">
            <v>152.045764796249</v>
          </cell>
          <cell r="R27" t="str">
            <v>-</v>
          </cell>
          <cell r="S27">
            <v>130.1320011</v>
          </cell>
          <cell r="T27">
            <v>83.4311459</v>
          </cell>
          <cell r="U27">
            <v>55.9753251573163</v>
          </cell>
          <cell r="V27" t="str">
            <v>-</v>
          </cell>
          <cell r="W27">
            <v>338961</v>
          </cell>
          <cell r="X27" t="str">
            <v>-</v>
          </cell>
          <cell r="Y27">
            <v>313843</v>
          </cell>
          <cell r="Z27">
            <v>8.0033647396947</v>
          </cell>
        </row>
        <row r="28">
          <cell r="B28" t="str">
            <v>聚乙烯期权</v>
          </cell>
          <cell r="C28">
            <v>427489</v>
          </cell>
          <cell r="D28">
            <v>263149</v>
          </cell>
          <cell r="E28">
            <v>62.4513108543069</v>
          </cell>
          <cell r="F28">
            <v>391028</v>
          </cell>
          <cell r="G28">
            <v>9.32439620692125</v>
          </cell>
          <cell r="H28" t="str">
            <v>-</v>
          </cell>
          <cell r="I28">
            <v>2.51185815</v>
          </cell>
          <cell r="J28">
            <v>2.951444725</v>
          </cell>
          <cell r="K28">
            <v>-14.8939457099269</v>
          </cell>
          <cell r="L28">
            <v>2.72809805</v>
          </cell>
          <cell r="M28">
            <v>-7.92639766008411</v>
          </cell>
          <cell r="N28" t="str">
            <v>-</v>
          </cell>
          <cell r="O28">
            <v>1201073</v>
          </cell>
          <cell r="P28">
            <v>554176</v>
          </cell>
          <cell r="Q28">
            <v>116.731327231782</v>
          </cell>
          <cell r="R28" t="str">
            <v>-</v>
          </cell>
          <cell r="S28">
            <v>8.2954657</v>
          </cell>
          <cell r="T28">
            <v>6.256242475</v>
          </cell>
          <cell r="U28">
            <v>32.5950158285705</v>
          </cell>
          <cell r="V28" t="str">
            <v>-</v>
          </cell>
          <cell r="W28">
            <v>36703</v>
          </cell>
          <cell r="X28" t="str">
            <v>-</v>
          </cell>
          <cell r="Y28">
            <v>37846</v>
          </cell>
          <cell r="Z28">
            <v>-3.02013422818792</v>
          </cell>
        </row>
        <row r="29">
          <cell r="B29" t="str">
            <v>豆粕期权</v>
          </cell>
          <cell r="C29">
            <v>6338534</v>
          </cell>
          <cell r="D29">
            <v>4777450</v>
          </cell>
          <cell r="E29">
            <v>32.6760928947451</v>
          </cell>
          <cell r="F29">
            <v>4780157</v>
          </cell>
          <cell r="G29">
            <v>32.6009585040826</v>
          </cell>
          <cell r="H29" t="str">
            <v>-</v>
          </cell>
          <cell r="I29">
            <v>49.76330665</v>
          </cell>
          <cell r="J29">
            <v>29.37969225</v>
          </cell>
          <cell r="K29">
            <v>69.3799452579358</v>
          </cell>
          <cell r="L29">
            <v>42.18298635</v>
          </cell>
          <cell r="M29">
            <v>17.9700892608804</v>
          </cell>
          <cell r="N29" t="str">
            <v>-</v>
          </cell>
          <cell r="O29">
            <v>15182291</v>
          </cell>
          <cell r="P29">
            <v>10414162</v>
          </cell>
          <cell r="Q29">
            <v>45.7850473230587</v>
          </cell>
          <cell r="R29" t="str">
            <v>-</v>
          </cell>
          <cell r="S29">
            <v>115.11336465</v>
          </cell>
          <cell r="T29">
            <v>80.0130649</v>
          </cell>
          <cell r="U29">
            <v>43.8682105152055</v>
          </cell>
          <cell r="V29" t="str">
            <v>-</v>
          </cell>
          <cell r="W29">
            <v>752371</v>
          </cell>
          <cell r="X29" t="str">
            <v>-</v>
          </cell>
          <cell r="Y29">
            <v>524014</v>
          </cell>
          <cell r="Z29">
            <v>43.5784158438515</v>
          </cell>
        </row>
        <row r="30">
          <cell r="B30" t="str">
            <v>棕榈油期权</v>
          </cell>
          <cell r="C30">
            <v>3296609</v>
          </cell>
          <cell r="D30" t="str">
            <v>-</v>
          </cell>
          <cell r="E30" t="str">
            <v>-</v>
          </cell>
          <cell r="F30">
            <v>1788292</v>
          </cell>
          <cell r="G30">
            <v>84.3439997494816</v>
          </cell>
          <cell r="H30" t="str">
            <v>-</v>
          </cell>
          <cell r="I30">
            <v>64.4308028</v>
          </cell>
          <cell r="J30" t="str">
            <v>-</v>
          </cell>
          <cell r="K30" t="str">
            <v>-</v>
          </cell>
          <cell r="L30">
            <v>32.98570215</v>
          </cell>
          <cell r="M30">
            <v>95.3294870213942</v>
          </cell>
          <cell r="N30" t="str">
            <v>-</v>
          </cell>
          <cell r="O30">
            <v>6904260</v>
          </cell>
          <cell r="P30" t="str">
            <v>-</v>
          </cell>
          <cell r="Q30" t="str">
            <v>-</v>
          </cell>
          <cell r="R30" t="str">
            <v>-</v>
          </cell>
          <cell r="S30">
            <v>124.32004665</v>
          </cell>
          <cell r="T30" t="str">
            <v>-</v>
          </cell>
          <cell r="U30" t="str">
            <v>-</v>
          </cell>
          <cell r="V30" t="str">
            <v>-</v>
          </cell>
          <cell r="W30">
            <v>303051</v>
          </cell>
          <cell r="X30" t="str">
            <v>-</v>
          </cell>
          <cell r="Y30">
            <v>343898</v>
          </cell>
          <cell r="Z30">
            <v>-11.8776497682452</v>
          </cell>
        </row>
        <row r="31">
          <cell r="B31" t="str">
            <v>液化石油气期权</v>
          </cell>
          <cell r="C31">
            <v>420730</v>
          </cell>
          <cell r="D31">
            <v>184856</v>
          </cell>
          <cell r="E31">
            <v>127.5987795906</v>
          </cell>
          <cell r="F31">
            <v>253213</v>
          </cell>
          <cell r="G31">
            <v>66.1565559430203</v>
          </cell>
          <cell r="H31" t="str">
            <v>-</v>
          </cell>
          <cell r="I31">
            <v>7.07276532</v>
          </cell>
          <cell r="J31">
            <v>2.38276996</v>
          </cell>
          <cell r="K31">
            <v>196.829548749221</v>
          </cell>
          <cell r="L31">
            <v>2.85764072</v>
          </cell>
          <cell r="M31">
            <v>147.503658192553</v>
          </cell>
          <cell r="N31" t="str">
            <v>-</v>
          </cell>
          <cell r="O31">
            <v>933021</v>
          </cell>
          <cell r="P31">
            <v>536344</v>
          </cell>
          <cell r="Q31">
            <v>73.9594364810644</v>
          </cell>
          <cell r="R31" t="str">
            <v>-</v>
          </cell>
          <cell r="S31">
            <v>12.95340764</v>
          </cell>
          <cell r="T31">
            <v>6.7010524</v>
          </cell>
          <cell r="U31">
            <v>93.3040792219443</v>
          </cell>
          <cell r="V31" t="str">
            <v>-</v>
          </cell>
          <cell r="W31">
            <v>20066</v>
          </cell>
          <cell r="X31" t="str">
            <v>-</v>
          </cell>
          <cell r="Y31">
            <v>18274</v>
          </cell>
          <cell r="Z31">
            <v>9.80628214950203</v>
          </cell>
        </row>
        <row r="32">
          <cell r="B32" t="str">
            <v>聚丙烯期权</v>
          </cell>
          <cell r="C32">
            <v>317415</v>
          </cell>
          <cell r="D32">
            <v>480301</v>
          </cell>
          <cell r="E32">
            <v>-33.9133168575539</v>
          </cell>
          <cell r="F32">
            <v>283534</v>
          </cell>
          <cell r="G32">
            <v>11.9495369162076</v>
          </cell>
          <cell r="H32" t="str">
            <v>-</v>
          </cell>
          <cell r="I32">
            <v>2.528454225</v>
          </cell>
          <cell r="J32">
            <v>4.0258707</v>
          </cell>
          <cell r="K32">
            <v>-37.1948476884764</v>
          </cell>
          <cell r="L32">
            <v>1.83827175</v>
          </cell>
          <cell r="M32">
            <v>37.5451820439497</v>
          </cell>
          <cell r="N32" t="str">
            <v>-</v>
          </cell>
          <cell r="O32">
            <v>952145</v>
          </cell>
          <cell r="P32">
            <v>914993</v>
          </cell>
          <cell r="Q32">
            <v>4.06035893170766</v>
          </cell>
          <cell r="R32" t="str">
            <v>-</v>
          </cell>
          <cell r="S32">
            <v>6.66166075</v>
          </cell>
          <cell r="T32">
            <v>7.88375575</v>
          </cell>
          <cell r="U32">
            <v>-15.5014315353441</v>
          </cell>
          <cell r="V32" t="str">
            <v>-</v>
          </cell>
          <cell r="W32">
            <v>35918</v>
          </cell>
          <cell r="X32" t="str">
            <v>-</v>
          </cell>
          <cell r="Y32">
            <v>35195</v>
          </cell>
          <cell r="Z32">
            <v>2.05426907231141</v>
          </cell>
        </row>
        <row r="33">
          <cell r="B33" t="str">
            <v>聚氯乙烯期权</v>
          </cell>
          <cell r="C33">
            <v>553052</v>
          </cell>
          <cell r="D33">
            <v>503313</v>
          </cell>
          <cell r="E33">
            <v>9.88231974934086</v>
          </cell>
          <cell r="F33">
            <v>413845</v>
          </cell>
          <cell r="G33">
            <v>33.6374729669321</v>
          </cell>
          <cell r="H33" t="str">
            <v>-</v>
          </cell>
          <cell r="I33">
            <v>2.8322863</v>
          </cell>
          <cell r="J33">
            <v>4.7640293</v>
          </cell>
          <cell r="K33">
            <v>-40.5485121596544</v>
          </cell>
          <cell r="L33">
            <v>3.069288875</v>
          </cell>
          <cell r="M33">
            <v>-7.72174222278117</v>
          </cell>
          <cell r="N33" t="str">
            <v>-</v>
          </cell>
          <cell r="O33">
            <v>1282577</v>
          </cell>
          <cell r="P33">
            <v>977782</v>
          </cell>
          <cell r="Q33">
            <v>31.1720813023762</v>
          </cell>
          <cell r="R33" t="str">
            <v>-</v>
          </cell>
          <cell r="S33">
            <v>9.245901575</v>
          </cell>
          <cell r="T33">
            <v>9.122915925</v>
          </cell>
          <cell r="U33">
            <v>1.34809583921491</v>
          </cell>
          <cell r="V33" t="str">
            <v>-</v>
          </cell>
          <cell r="W33">
            <v>65404</v>
          </cell>
          <cell r="X33" t="str">
            <v>-</v>
          </cell>
          <cell r="Y33">
            <v>64678</v>
          </cell>
          <cell r="Z33">
            <v>1.12248368842574</v>
          </cell>
        </row>
        <row r="34">
          <cell r="B34" t="str">
            <v>期权合计</v>
          </cell>
          <cell r="C34">
            <v>19160182</v>
          </cell>
          <cell r="D34">
            <v>9861570</v>
          </cell>
          <cell r="E34">
            <v>94.2913957919479</v>
          </cell>
          <cell r="F34">
            <v>12890191</v>
          </cell>
          <cell r="G34">
            <v>48.6415678402283</v>
          </cell>
          <cell r="H34" t="str">
            <v>-</v>
          </cell>
          <cell r="I34">
            <v>195.703776195</v>
          </cell>
          <cell r="J34">
            <v>86.128999935</v>
          </cell>
          <cell r="K34">
            <v>127.221698083914</v>
          </cell>
          <cell r="L34">
            <v>135.644118095</v>
          </cell>
          <cell r="M34">
            <v>44.2773774075014</v>
          </cell>
          <cell r="N34" t="str">
            <v>-</v>
          </cell>
          <cell r="O34">
            <v>43388699</v>
          </cell>
          <cell r="P34">
            <v>20440843</v>
          </cell>
          <cell r="Q34">
            <v>112.264724111427</v>
          </cell>
          <cell r="R34" t="str">
            <v>-</v>
          </cell>
          <cell r="S34">
            <v>431.997837565</v>
          </cell>
          <cell r="T34">
            <v>206.9171151</v>
          </cell>
          <cell r="U34">
            <v>108.778204430417</v>
          </cell>
          <cell r="V34" t="str">
            <v>-</v>
          </cell>
          <cell r="W34">
            <v>2301705</v>
          </cell>
          <cell r="X34" t="str">
            <v>-</v>
          </cell>
          <cell r="Y34">
            <v>1955182</v>
          </cell>
          <cell r="Z34">
            <v>17.7233116916993</v>
          </cell>
        </row>
        <row r="35">
          <cell r="B35" t="str">
            <v>大商所 - 总计</v>
          </cell>
          <cell r="C35">
            <v>252591080</v>
          </cell>
          <cell r="D35">
            <v>236510188</v>
          </cell>
          <cell r="E35">
            <v>6.79923860193288</v>
          </cell>
          <cell r="F35">
            <v>169650267</v>
          </cell>
          <cell r="G35">
            <v>48.8892911674581</v>
          </cell>
          <cell r="H35" t="str">
            <v>-</v>
          </cell>
          <cell r="I35">
            <v>148602.294085445</v>
          </cell>
          <cell r="J35">
            <v>133841.842870885</v>
          </cell>
          <cell r="K35">
            <v>11.0282785248251</v>
          </cell>
          <cell r="L35">
            <v>95589.734709495</v>
          </cell>
          <cell r="M35">
            <v>55.4584229541587</v>
          </cell>
          <cell r="N35" t="str">
            <v>-</v>
          </cell>
          <cell r="O35">
            <v>584602260</v>
          </cell>
          <cell r="P35">
            <v>552423337</v>
          </cell>
          <cell r="Q35">
            <v>5.82504772060344</v>
          </cell>
          <cell r="R35" t="str">
            <v>-</v>
          </cell>
          <cell r="S35">
            <v>330732.246048965</v>
          </cell>
          <cell r="T35">
            <v>309171.43118595</v>
          </cell>
          <cell r="U35">
            <v>6.97374100197743</v>
          </cell>
          <cell r="V35" t="str">
            <v>-</v>
          </cell>
          <cell r="W35">
            <v>12751170</v>
          </cell>
          <cell r="X35" t="str">
            <v>-</v>
          </cell>
          <cell r="Y35">
            <v>12616914</v>
          </cell>
          <cell r="Z35">
            <v>1.06409538814325</v>
          </cell>
        </row>
      </sheetData>
      <sheetData sheetId="6">
        <row r="2">
          <cell r="B2" t="str">
            <v>品种名称</v>
          </cell>
          <cell r="C2" t="str">
            <v>本月成交量(手)</v>
          </cell>
          <cell r="D2" t="str">
            <v>去年同期成交量</v>
          </cell>
          <cell r="E2" t="str">
            <v>同比增减(%)</v>
          </cell>
          <cell r="F2" t="str">
            <v>上月成交量(手)</v>
          </cell>
          <cell r="G2" t="str">
            <v>环比增减(%)</v>
          </cell>
          <cell r="H2" t="str">
            <v>本月成交额(亿元)</v>
          </cell>
          <cell r="I2" t="str">
            <v>去年同期成交额(亿元)</v>
          </cell>
          <cell r="J2" t="str">
            <v>同比增减(%)</v>
          </cell>
          <cell r="K2" t="str">
            <v>上月成交额(亿元)</v>
          </cell>
          <cell r="L2" t="str">
            <v>环比增减(%)</v>
          </cell>
          <cell r="M2" t="str">
            <v>今年累计成交总量</v>
          </cell>
          <cell r="N2" t="str">
            <v>去年累计成交总量</v>
          </cell>
          <cell r="O2" t="str">
            <v>同比增减(%)</v>
          </cell>
          <cell r="P2" t="str">
            <v>今年累计成交总额(亿元)</v>
          </cell>
          <cell r="Q2" t="str">
            <v>去年累计成交总额(亿元)</v>
          </cell>
          <cell r="R2" t="str">
            <v>同比增减(%)</v>
          </cell>
          <cell r="S2" t="str">
            <v>本月末持仓</v>
          </cell>
          <cell r="T2" t="str">
            <v>上月末持仓</v>
          </cell>
          <cell r="U2" t="str">
            <v>环比增减(%)</v>
          </cell>
        </row>
        <row r="3">
          <cell r="B3" t="str">
            <v>10年期国债期货</v>
          </cell>
          <cell r="C3">
            <v>1967531</v>
          </cell>
          <cell r="D3">
            <v>1315781</v>
          </cell>
          <cell r="E3">
            <v>0.4953</v>
          </cell>
          <cell r="F3">
            <v>1512088</v>
          </cell>
          <cell r="G3">
            <v>0.3012</v>
          </cell>
          <cell r="H3">
            <v>19699.1891935</v>
          </cell>
          <cell r="I3">
            <v>12770.694098</v>
          </cell>
          <cell r="J3">
            <v>0.5425</v>
          </cell>
          <cell r="K3">
            <v>15192.026445</v>
          </cell>
          <cell r="L3">
            <v>0.2967</v>
          </cell>
          <cell r="M3">
            <v>4753989</v>
          </cell>
          <cell r="N3">
            <v>3621445</v>
          </cell>
          <cell r="O3">
            <v>0.3127</v>
          </cell>
          <cell r="P3">
            <v>47748.679476</v>
          </cell>
          <cell r="Q3">
            <v>35258.5117305</v>
          </cell>
          <cell r="R3">
            <v>0.3542</v>
          </cell>
          <cell r="S3">
            <v>179879</v>
          </cell>
          <cell r="T3">
            <v>168171</v>
          </cell>
          <cell r="U3">
            <v>0.0696</v>
          </cell>
        </row>
        <row r="4">
          <cell r="B4" t="str">
            <v>2年期国债期货</v>
          </cell>
          <cell r="C4">
            <v>399804</v>
          </cell>
          <cell r="D4">
            <v>186958</v>
          </cell>
          <cell r="E4">
            <v>1.1385</v>
          </cell>
          <cell r="F4">
            <v>323826</v>
          </cell>
          <cell r="G4">
            <v>0.2346</v>
          </cell>
          <cell r="H4">
            <v>8087.686202</v>
          </cell>
          <cell r="I4">
            <v>3741.875579</v>
          </cell>
          <cell r="J4">
            <v>1.1614</v>
          </cell>
          <cell r="K4">
            <v>6556.219853</v>
          </cell>
          <cell r="L4">
            <v>0.2336</v>
          </cell>
          <cell r="M4">
            <v>991989</v>
          </cell>
          <cell r="N4">
            <v>504306</v>
          </cell>
          <cell r="O4">
            <v>0.967</v>
          </cell>
          <cell r="P4">
            <v>20075.248011</v>
          </cell>
          <cell r="Q4">
            <v>10108.982773</v>
          </cell>
          <cell r="R4">
            <v>0.9859</v>
          </cell>
          <cell r="S4">
            <v>48181</v>
          </cell>
          <cell r="T4">
            <v>34235</v>
          </cell>
          <cell r="U4">
            <v>0.4074</v>
          </cell>
        </row>
        <row r="5">
          <cell r="B5" t="str">
            <v>5年期国债期货</v>
          </cell>
          <cell r="C5">
            <v>1009466</v>
          </cell>
          <cell r="D5">
            <v>469785</v>
          </cell>
          <cell r="E5">
            <v>1.1488</v>
          </cell>
          <cell r="F5">
            <v>784943</v>
          </cell>
          <cell r="G5">
            <v>0.286</v>
          </cell>
          <cell r="H5">
            <v>10238.8671135</v>
          </cell>
          <cell r="I5">
            <v>4666.596383</v>
          </cell>
          <cell r="J5">
            <v>1.1941</v>
          </cell>
          <cell r="K5">
            <v>7987.232872</v>
          </cell>
          <cell r="L5">
            <v>0.2819</v>
          </cell>
          <cell r="M5">
            <v>2470241</v>
          </cell>
          <cell r="N5">
            <v>1484421</v>
          </cell>
          <cell r="O5">
            <v>0.6641</v>
          </cell>
          <cell r="P5">
            <v>25121.112471</v>
          </cell>
          <cell r="Q5">
            <v>14773.0395085</v>
          </cell>
          <cell r="R5">
            <v>0.7005</v>
          </cell>
          <cell r="S5">
            <v>109881</v>
          </cell>
          <cell r="T5">
            <v>91453</v>
          </cell>
          <cell r="U5">
            <v>0.2015</v>
          </cell>
        </row>
        <row r="6">
          <cell r="B6" t="str">
            <v>沪深300股指期货</v>
          </cell>
          <cell r="C6">
            <v>3067059</v>
          </cell>
          <cell r="D6">
            <v>3560163</v>
          </cell>
          <cell r="E6">
            <v>-0.1385</v>
          </cell>
          <cell r="F6">
            <v>1501564</v>
          </cell>
          <cell r="G6">
            <v>1.0426</v>
          </cell>
          <cell r="H6">
            <v>38862.676257</v>
          </cell>
          <cell r="I6">
            <v>54201.6895806</v>
          </cell>
          <cell r="J6">
            <v>-0.283</v>
          </cell>
          <cell r="K6">
            <v>20691.6160632</v>
          </cell>
          <cell r="L6">
            <v>0.8782</v>
          </cell>
          <cell r="M6">
            <v>6462624</v>
          </cell>
          <cell r="N6">
            <v>8508887</v>
          </cell>
          <cell r="O6">
            <v>-0.2405</v>
          </cell>
          <cell r="P6">
            <v>86753.6002398</v>
          </cell>
          <cell r="Q6">
            <v>135827.1599964</v>
          </cell>
          <cell r="R6">
            <v>-0.3613</v>
          </cell>
          <cell r="S6">
            <v>206208</v>
          </cell>
          <cell r="T6">
            <v>203209</v>
          </cell>
          <cell r="U6">
            <v>0.0148</v>
          </cell>
        </row>
        <row r="7">
          <cell r="B7" t="str">
            <v>沪深300股指期权</v>
          </cell>
          <cell r="C7">
            <v>3908855</v>
          </cell>
          <cell r="D7">
            <v>2879956</v>
          </cell>
          <cell r="E7">
            <v>0.3573</v>
          </cell>
          <cell r="F7">
            <v>1942889</v>
          </cell>
          <cell r="G7">
            <v>1.0119</v>
          </cell>
          <cell r="H7">
            <v>297.2759098</v>
          </cell>
          <cell r="I7">
            <v>279.2488136</v>
          </cell>
          <cell r="J7">
            <v>0.0646</v>
          </cell>
          <cell r="K7">
            <v>115.2240652</v>
          </cell>
          <cell r="L7">
            <v>1.58</v>
          </cell>
          <cell r="M7">
            <v>8628267</v>
          </cell>
          <cell r="N7">
            <v>7714369</v>
          </cell>
          <cell r="O7">
            <v>0.1185</v>
          </cell>
          <cell r="P7">
            <v>587.387685</v>
          </cell>
          <cell r="Q7">
            <v>823.8311242</v>
          </cell>
          <cell r="R7">
            <v>-0.287</v>
          </cell>
          <cell r="S7">
            <v>210319</v>
          </cell>
          <cell r="T7">
            <v>176064</v>
          </cell>
          <cell r="U7">
            <v>0.1946</v>
          </cell>
        </row>
        <row r="8">
          <cell r="B8" t="str">
            <v>上证50股指期货</v>
          </cell>
          <cell r="C8">
            <v>1532174</v>
          </cell>
          <cell r="D8">
            <v>1324167</v>
          </cell>
          <cell r="E8">
            <v>0.1571</v>
          </cell>
          <cell r="F8">
            <v>840909</v>
          </cell>
          <cell r="G8">
            <v>0.822</v>
          </cell>
          <cell r="H8">
            <v>13306.8843138</v>
          </cell>
          <cell r="I8">
            <v>14194.6068144</v>
          </cell>
          <cell r="J8">
            <v>-0.0625</v>
          </cell>
          <cell r="K8">
            <v>7864.225896</v>
          </cell>
          <cell r="L8">
            <v>0.6921</v>
          </cell>
          <cell r="M8">
            <v>3515133</v>
          </cell>
          <cell r="N8">
            <v>3268906</v>
          </cell>
          <cell r="O8">
            <v>0.0753</v>
          </cell>
          <cell r="P8">
            <v>32143.9725618</v>
          </cell>
          <cell r="Q8">
            <v>36506.1503736</v>
          </cell>
          <cell r="R8">
            <v>-0.1195</v>
          </cell>
          <cell r="S8">
            <v>92261</v>
          </cell>
          <cell r="T8">
            <v>103130</v>
          </cell>
          <cell r="U8">
            <v>-0.1054</v>
          </cell>
        </row>
        <row r="9">
          <cell r="B9" t="str">
            <v>中证500股指期货</v>
          </cell>
          <cell r="C9">
            <v>2612239</v>
          </cell>
          <cell r="D9">
            <v>2432032</v>
          </cell>
          <cell r="E9">
            <v>0.0741</v>
          </cell>
          <cell r="F9">
            <v>1353858</v>
          </cell>
          <cell r="G9">
            <v>0.9295</v>
          </cell>
          <cell r="H9">
            <v>32971.4999964</v>
          </cell>
          <cell r="I9">
            <v>30024.24739</v>
          </cell>
          <cell r="J9">
            <v>0.0982</v>
          </cell>
          <cell r="K9">
            <v>18272.1755184</v>
          </cell>
          <cell r="L9">
            <v>0.8045</v>
          </cell>
          <cell r="M9">
            <v>5649558</v>
          </cell>
          <cell r="N9">
            <v>6277621</v>
          </cell>
          <cell r="O9">
            <v>-0.1</v>
          </cell>
          <cell r="P9">
            <v>74852.1774752</v>
          </cell>
          <cell r="Q9">
            <v>79293.0331956</v>
          </cell>
          <cell r="R9">
            <v>-0.056</v>
          </cell>
          <cell r="S9">
            <v>312565</v>
          </cell>
          <cell r="T9">
            <v>301140</v>
          </cell>
          <cell r="U9">
            <v>0.0379</v>
          </cell>
        </row>
        <row r="10">
          <cell r="B10" t="str">
            <v>合计</v>
          </cell>
          <cell r="C10">
            <v>14497128</v>
          </cell>
          <cell r="D10">
            <v>12168842</v>
          </cell>
          <cell r="E10">
            <v>0.1913</v>
          </cell>
          <cell r="F10">
            <v>8260077</v>
          </cell>
          <cell r="G10">
            <v>0.7551</v>
          </cell>
          <cell r="H10">
            <v>123464.078986</v>
          </cell>
          <cell r="I10">
            <v>119878.9586586</v>
          </cell>
          <cell r="J10">
            <v>0.0299</v>
          </cell>
          <cell r="K10">
            <v>76678.7207128</v>
          </cell>
          <cell r="L10">
            <v>0.6101</v>
          </cell>
          <cell r="M10">
            <v>32471801</v>
          </cell>
          <cell r="N10">
            <v>31379955</v>
          </cell>
          <cell r="O10">
            <v>0.0348</v>
          </cell>
          <cell r="P10">
            <v>287282.1779198</v>
          </cell>
          <cell r="Q10">
            <v>312590.7087018</v>
          </cell>
          <cell r="R10">
            <v>-0.081</v>
          </cell>
          <cell r="S10">
            <v>1159294</v>
          </cell>
          <cell r="T10">
            <v>1077402</v>
          </cell>
          <cell r="U10">
            <v>0.076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"/>
  <sheetViews>
    <sheetView workbookViewId="0">
      <selection activeCell="A1" sqref="$A1:$XFD1048576"/>
    </sheetView>
  </sheetViews>
  <sheetFormatPr defaultColWidth="9" defaultRowHeight="13.5"/>
  <cols>
    <col min="3" max="3" width="15.3333333333333" customWidth="1"/>
    <col min="4" max="4" width="13.25" customWidth="1"/>
    <col min="6" max="6" width="15.4416666666667" customWidth="1"/>
    <col min="9" max="9" width="13.1083333333333" customWidth="1"/>
    <col min="10" max="10" width="13" customWidth="1"/>
    <col min="11" max="11" width="11.225" customWidth="1"/>
    <col min="12" max="12" width="11.6666666666667" customWidth="1"/>
    <col min="15" max="15" width="15.1083333333333" customWidth="1"/>
    <col min="16" max="16" width="17.4416666666667" customWidth="1"/>
    <col min="17" max="17" width="9" customWidth="1"/>
    <col min="18" max="18" width="11.1083333333333" customWidth="1"/>
    <col min="19" max="19" width="15.1333333333333" customWidth="1"/>
    <col min="20" max="20" width="15.3333333333333" customWidth="1"/>
    <col min="21" max="21" width="11.5" customWidth="1"/>
    <col min="23" max="23" width="12.1083333333333" customWidth="1"/>
    <col min="24" max="24" width="9" customWidth="1"/>
    <col min="25" max="25" width="12.1333333333333" customWidth="1"/>
    <col min="26" max="26" width="10.3333333333333" customWidth="1"/>
  </cols>
  <sheetData>
    <row r="1" customFormat="1" ht="14.25" spans="1:26">
      <c r="A1" s="1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 t="s">
        <v>0</v>
      </c>
      <c r="N1" s="34" t="s">
        <v>1</v>
      </c>
      <c r="O1" s="6" t="s">
        <v>2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="70" customFormat="1" ht="47" customHeight="1" spans="1:26">
      <c r="A2" s="7" t="s">
        <v>3</v>
      </c>
      <c r="B2" s="8" t="s">
        <v>4</v>
      </c>
      <c r="C2" s="9" t="s">
        <v>5</v>
      </c>
      <c r="D2" s="9" t="s">
        <v>6</v>
      </c>
      <c r="E2" s="10" t="s">
        <v>7</v>
      </c>
      <c r="F2" s="9" t="s">
        <v>8</v>
      </c>
      <c r="G2" s="10" t="s">
        <v>9</v>
      </c>
      <c r="H2" s="10" t="s">
        <v>10</v>
      </c>
      <c r="I2" s="8" t="s">
        <v>11</v>
      </c>
      <c r="J2" s="8" t="s">
        <v>12</v>
      </c>
      <c r="K2" s="10" t="s">
        <v>7</v>
      </c>
      <c r="L2" s="8" t="s">
        <v>13</v>
      </c>
      <c r="M2" s="10" t="s">
        <v>9</v>
      </c>
      <c r="N2" s="10" t="s">
        <v>14</v>
      </c>
      <c r="O2" s="9" t="s">
        <v>15</v>
      </c>
      <c r="P2" s="9" t="s">
        <v>16</v>
      </c>
      <c r="Q2" s="10" t="s">
        <v>7</v>
      </c>
      <c r="R2" s="10" t="s">
        <v>17</v>
      </c>
      <c r="S2" s="8" t="s">
        <v>18</v>
      </c>
      <c r="T2" s="8" t="s">
        <v>19</v>
      </c>
      <c r="U2" s="10" t="s">
        <v>7</v>
      </c>
      <c r="V2" s="10" t="s">
        <v>20</v>
      </c>
      <c r="W2" s="9" t="s">
        <v>21</v>
      </c>
      <c r="X2" s="10" t="s">
        <v>22</v>
      </c>
      <c r="Y2" s="9" t="s">
        <v>23</v>
      </c>
      <c r="Z2" s="42" t="s">
        <v>9</v>
      </c>
    </row>
    <row r="3" customFormat="1" spans="1:26">
      <c r="A3" s="11" t="s">
        <v>24</v>
      </c>
      <c r="B3" s="12" t="s">
        <v>25</v>
      </c>
      <c r="C3" s="13">
        <v>7125645</v>
      </c>
      <c r="D3" s="13">
        <v>12599875</v>
      </c>
      <c r="E3" s="14">
        <v>-0.434467008601276</v>
      </c>
      <c r="F3" s="13">
        <v>12107375</v>
      </c>
      <c r="G3" s="14">
        <v>-0.411462435086053</v>
      </c>
      <c r="H3" s="14">
        <v>0.0160810787632976</v>
      </c>
      <c r="I3" s="35">
        <v>4377.3626262</v>
      </c>
      <c r="J3" s="35">
        <v>7897.7943368</v>
      </c>
      <c r="K3" s="14">
        <v>-0.445748719259053</v>
      </c>
      <c r="L3" s="35">
        <v>6987.750984</v>
      </c>
      <c r="M3" s="14">
        <v>-0.373566311074487</v>
      </c>
      <c r="N3" s="14">
        <v>0.0119443880409144</v>
      </c>
      <c r="O3" s="13">
        <v>7125645</v>
      </c>
      <c r="P3" s="13">
        <v>12599875</v>
      </c>
      <c r="Q3" s="14">
        <v>-0.434467008601276</v>
      </c>
      <c r="R3" s="14">
        <v>0.0160810787632976</v>
      </c>
      <c r="S3" s="35">
        <v>4377.3626262</v>
      </c>
      <c r="T3" s="35">
        <v>7897.7943368</v>
      </c>
      <c r="U3" s="14">
        <v>-0.445748719259053</v>
      </c>
      <c r="V3" s="14">
        <v>0.0119443880409144</v>
      </c>
      <c r="W3" s="39">
        <v>326025</v>
      </c>
      <c r="X3" s="14">
        <v>0.0115754017998512</v>
      </c>
      <c r="Y3" s="39">
        <v>383529</v>
      </c>
      <c r="Z3" s="43">
        <v>-0.14993390330327</v>
      </c>
    </row>
    <row r="4" customFormat="1" spans="1:26">
      <c r="A4" s="11"/>
      <c r="B4" s="12" t="s">
        <v>26</v>
      </c>
      <c r="C4" s="13">
        <v>5248034</v>
      </c>
      <c r="D4" s="13">
        <v>4595265</v>
      </c>
      <c r="E4" s="14">
        <v>0.142052525806455</v>
      </c>
      <c r="F4" s="13">
        <v>5847613</v>
      </c>
      <c r="G4" s="14">
        <v>-0.102533974119012</v>
      </c>
      <c r="H4" s="14">
        <v>0.0118437065144929</v>
      </c>
      <c r="I4" s="35">
        <v>6490.936093</v>
      </c>
      <c r="J4" s="35">
        <v>4715.31640175</v>
      </c>
      <c r="K4" s="14">
        <v>0.376564272673412</v>
      </c>
      <c r="L4" s="35">
        <v>6914.18445425</v>
      </c>
      <c r="M4" s="14">
        <v>-0.0612145024551433</v>
      </c>
      <c r="N4" s="14">
        <v>0.017711637363449</v>
      </c>
      <c r="O4" s="13">
        <v>5248034</v>
      </c>
      <c r="P4" s="13">
        <v>4595265</v>
      </c>
      <c r="Q4" s="14">
        <v>0.142052525806455</v>
      </c>
      <c r="R4" s="14">
        <v>0.0118437065144929</v>
      </c>
      <c r="S4" s="35">
        <v>6490.936093</v>
      </c>
      <c r="T4" s="35">
        <v>4715.31640175</v>
      </c>
      <c r="U4" s="14">
        <v>0.376564272673412</v>
      </c>
      <c r="V4" s="14">
        <v>0.017711637363449</v>
      </c>
      <c r="W4" s="39">
        <v>237820</v>
      </c>
      <c r="X4" s="14">
        <v>0.00844371461096726</v>
      </c>
      <c r="Y4" s="39">
        <v>210293</v>
      </c>
      <c r="Z4" s="43">
        <v>0.130898318060991</v>
      </c>
    </row>
    <row r="5" customFormat="1" spans="1:26">
      <c r="A5" s="11"/>
      <c r="B5" s="12" t="s">
        <v>27</v>
      </c>
      <c r="C5" s="13">
        <v>3628</v>
      </c>
      <c r="D5" s="13">
        <v>730</v>
      </c>
      <c r="E5" s="14">
        <v>3.96986301369863</v>
      </c>
      <c r="F5" s="13">
        <v>1705</v>
      </c>
      <c r="G5" s="14">
        <v>1.12785923753666</v>
      </c>
      <c r="H5" s="14">
        <v>8.18763126050253e-6</v>
      </c>
      <c r="I5" s="35">
        <v>1.809747</v>
      </c>
      <c r="J5" s="35">
        <v>0.3393192</v>
      </c>
      <c r="K5" s="14">
        <v>4.33346477299251</v>
      </c>
      <c r="L5" s="35">
        <v>0.7977179</v>
      </c>
      <c r="M5" s="14">
        <v>1.2686553730335</v>
      </c>
      <c r="N5" s="14">
        <v>4.93820646580655e-6</v>
      </c>
      <c r="O5" s="13">
        <v>3628</v>
      </c>
      <c r="P5" s="13">
        <v>730</v>
      </c>
      <c r="Q5" s="14">
        <v>3.96986301369863</v>
      </c>
      <c r="R5" s="14">
        <v>8.18763126050253e-6</v>
      </c>
      <c r="S5" s="35">
        <v>1.809747</v>
      </c>
      <c r="T5" s="35">
        <v>0.3393192</v>
      </c>
      <c r="U5" s="14">
        <v>4.33346477299251</v>
      </c>
      <c r="V5" s="14">
        <v>4.93820646580655e-6</v>
      </c>
      <c r="W5" s="39">
        <v>9</v>
      </c>
      <c r="X5" s="14">
        <v>3.19541802618389e-7</v>
      </c>
      <c r="Y5" s="39">
        <v>85</v>
      </c>
      <c r="Z5" s="43">
        <v>-0.894117647058824</v>
      </c>
    </row>
    <row r="6" customFormat="1" spans="1:26">
      <c r="A6" s="11"/>
      <c r="B6" s="12" t="s">
        <v>28</v>
      </c>
      <c r="C6" s="13">
        <v>2602578</v>
      </c>
      <c r="D6" s="13">
        <v>2271009</v>
      </c>
      <c r="E6" s="14">
        <v>0.146000742401285</v>
      </c>
      <c r="F6" s="13">
        <v>1793996</v>
      </c>
      <c r="G6" s="14">
        <v>0.450715609176386</v>
      </c>
      <c r="H6" s="14">
        <v>0.00587346995333411</v>
      </c>
      <c r="I6" s="35">
        <v>8138.1441226</v>
      </c>
      <c r="J6" s="35">
        <v>3704.4333134</v>
      </c>
      <c r="K6" s="14">
        <v>1.1968661422955</v>
      </c>
      <c r="L6" s="35">
        <v>5094.9955395</v>
      </c>
      <c r="M6" s="14">
        <v>0.597281893479075</v>
      </c>
      <c r="N6" s="14">
        <v>0.0222063282469256</v>
      </c>
      <c r="O6" s="13">
        <v>2602578</v>
      </c>
      <c r="P6" s="13">
        <v>2271009</v>
      </c>
      <c r="Q6" s="14">
        <v>0.146000742401285</v>
      </c>
      <c r="R6" s="14">
        <v>0.00587346995333411</v>
      </c>
      <c r="S6" s="35">
        <v>8138.1441226</v>
      </c>
      <c r="T6" s="35">
        <v>3704.4333134</v>
      </c>
      <c r="U6" s="14">
        <v>1.1968661422955</v>
      </c>
      <c r="V6" s="14">
        <v>0.0222063282469256</v>
      </c>
      <c r="W6" s="39">
        <v>60517</v>
      </c>
      <c r="X6" s="14">
        <v>0.00214863458545079</v>
      </c>
      <c r="Y6" s="39">
        <v>77180</v>
      </c>
      <c r="Z6" s="43">
        <v>-0.215897901010625</v>
      </c>
    </row>
    <row r="7" customFormat="1" spans="1:26">
      <c r="A7" s="11"/>
      <c r="B7" s="12" t="s">
        <v>29</v>
      </c>
      <c r="C7" s="13">
        <v>3282418</v>
      </c>
      <c r="D7" s="13">
        <v>5199995</v>
      </c>
      <c r="E7" s="14">
        <v>-0.368765162274194</v>
      </c>
      <c r="F7" s="13">
        <v>3994000</v>
      </c>
      <c r="G7" s="14">
        <v>-0.178162744116174</v>
      </c>
      <c r="H7" s="14">
        <v>0.00740772553110149</v>
      </c>
      <c r="I7" s="35">
        <v>11564.666678</v>
      </c>
      <c r="J7" s="35">
        <v>15299.11208</v>
      </c>
      <c r="K7" s="14">
        <v>-0.244095564662338</v>
      </c>
      <c r="L7" s="35">
        <v>13845.4372075</v>
      </c>
      <c r="M7" s="14">
        <v>-0.16473084203253</v>
      </c>
      <c r="N7" s="14">
        <v>0.0315561853475636</v>
      </c>
      <c r="O7" s="13">
        <v>3282418</v>
      </c>
      <c r="P7" s="13">
        <v>5199995</v>
      </c>
      <c r="Q7" s="14">
        <v>-0.368765162274194</v>
      </c>
      <c r="R7" s="14">
        <v>0.00740772553110149</v>
      </c>
      <c r="S7" s="35">
        <v>11564.666678</v>
      </c>
      <c r="T7" s="35">
        <v>15299.11208</v>
      </c>
      <c r="U7" s="14">
        <v>-0.244095564662338</v>
      </c>
      <c r="V7" s="14">
        <v>0.0315561853475636</v>
      </c>
      <c r="W7" s="39">
        <v>321046</v>
      </c>
      <c r="X7" s="14">
        <v>0.0113986241737137</v>
      </c>
      <c r="Y7" s="39">
        <v>332180</v>
      </c>
      <c r="Z7" s="43">
        <v>-0.0335179721837558</v>
      </c>
    </row>
    <row r="8" customFormat="1" spans="1:26">
      <c r="A8" s="11"/>
      <c r="B8" s="12" t="s">
        <v>30</v>
      </c>
      <c r="C8" s="13">
        <v>5970762</v>
      </c>
      <c r="D8" s="13">
        <v>11382384</v>
      </c>
      <c r="E8" s="14">
        <v>-0.475438361594548</v>
      </c>
      <c r="F8" s="13">
        <v>6855340</v>
      </c>
      <c r="G8" s="14">
        <v>-0.129034883754854</v>
      </c>
      <c r="H8" s="14">
        <v>0.013474751267977</v>
      </c>
      <c r="I8" s="35">
        <v>8827.228166</v>
      </c>
      <c r="J8" s="35">
        <v>16461.6777395</v>
      </c>
      <c r="K8" s="14">
        <v>-0.463771050212035</v>
      </c>
      <c r="L8" s="35">
        <v>10032.3931</v>
      </c>
      <c r="M8" s="14">
        <v>-0.120127363629721</v>
      </c>
      <c r="N8" s="14">
        <v>0.0240866127721118</v>
      </c>
      <c r="O8" s="13">
        <v>5970762</v>
      </c>
      <c r="P8" s="13">
        <v>11382384</v>
      </c>
      <c r="Q8" s="14">
        <v>-0.475438361594548</v>
      </c>
      <c r="R8" s="14">
        <v>0.013474751267977</v>
      </c>
      <c r="S8" s="35">
        <v>8827.228166</v>
      </c>
      <c r="T8" s="35">
        <v>16461.6777395</v>
      </c>
      <c r="U8" s="14">
        <v>-0.463771050212035</v>
      </c>
      <c r="V8" s="14">
        <v>0.0240866127721118</v>
      </c>
      <c r="W8" s="39">
        <v>339980</v>
      </c>
      <c r="X8" s="14">
        <v>0.0120708691171333</v>
      </c>
      <c r="Y8" s="39">
        <v>312825</v>
      </c>
      <c r="Z8" s="43">
        <v>0.086805722049069</v>
      </c>
    </row>
    <row r="9" customFormat="1" spans="1:26">
      <c r="A9" s="11"/>
      <c r="B9" s="12" t="s">
        <v>31</v>
      </c>
      <c r="C9" s="13">
        <v>10175580</v>
      </c>
      <c r="D9" s="13">
        <v>13212527</v>
      </c>
      <c r="E9" s="14">
        <v>-0.229853607867746</v>
      </c>
      <c r="F9" s="13">
        <v>11690532</v>
      </c>
      <c r="G9" s="14">
        <v>-0.129587943474258</v>
      </c>
      <c r="H9" s="14">
        <v>0.0229641391680663</v>
      </c>
      <c r="I9" s="35">
        <v>3528.5655512</v>
      </c>
      <c r="J9" s="35">
        <v>3534.1464418</v>
      </c>
      <c r="K9" s="14">
        <v>-0.0015791339413648</v>
      </c>
      <c r="L9" s="35">
        <v>3544.5140428</v>
      </c>
      <c r="M9" s="14">
        <v>-0.00449948608114455</v>
      </c>
      <c r="N9" s="14">
        <v>0.00962829899425616</v>
      </c>
      <c r="O9" s="13">
        <v>10175580</v>
      </c>
      <c r="P9" s="13">
        <v>13212527</v>
      </c>
      <c r="Q9" s="14">
        <v>-0.229853607867746</v>
      </c>
      <c r="R9" s="14">
        <v>0.0229641391680663</v>
      </c>
      <c r="S9" s="35">
        <v>3528.5655512</v>
      </c>
      <c r="T9" s="35">
        <v>3534.1464418</v>
      </c>
      <c r="U9" s="14">
        <v>-0.0015791339413648</v>
      </c>
      <c r="V9" s="14">
        <v>0.00962829899425616</v>
      </c>
      <c r="W9" s="39">
        <v>706456</v>
      </c>
      <c r="X9" s="14">
        <v>0.0250824693011752</v>
      </c>
      <c r="Y9" s="39">
        <v>678755</v>
      </c>
      <c r="Z9" s="43">
        <v>0.0408114857349117</v>
      </c>
    </row>
    <row r="10" customFormat="1" spans="1:26">
      <c r="A10" s="11"/>
      <c r="B10" s="12" t="s">
        <v>32</v>
      </c>
      <c r="C10" s="13">
        <v>8650562</v>
      </c>
      <c r="D10" s="13">
        <v>14890532</v>
      </c>
      <c r="E10" s="14">
        <v>-0.419056216393074</v>
      </c>
      <c r="F10" s="13">
        <v>16372681</v>
      </c>
      <c r="G10" s="14">
        <v>-0.471646580056131</v>
      </c>
      <c r="H10" s="14">
        <v>0.0195224949978267</v>
      </c>
      <c r="I10" s="35">
        <v>4083.7123246</v>
      </c>
      <c r="J10" s="35">
        <v>6652.297737</v>
      </c>
      <c r="K10" s="14">
        <v>-0.386120031596535</v>
      </c>
      <c r="L10" s="35">
        <v>7487.6053311</v>
      </c>
      <c r="M10" s="14">
        <v>-0.454603689161049</v>
      </c>
      <c r="N10" s="14">
        <v>0.0111431126040456</v>
      </c>
      <c r="O10" s="13">
        <v>8650562</v>
      </c>
      <c r="P10" s="13">
        <v>14890532</v>
      </c>
      <c r="Q10" s="14">
        <v>-0.419056216393074</v>
      </c>
      <c r="R10" s="14">
        <v>0.0195224949978267</v>
      </c>
      <c r="S10" s="35">
        <v>4083.7123246</v>
      </c>
      <c r="T10" s="35">
        <v>6652.297737</v>
      </c>
      <c r="U10" s="14">
        <v>-0.386120031596535</v>
      </c>
      <c r="V10" s="14">
        <v>0.0111431126040456</v>
      </c>
      <c r="W10" s="39">
        <v>916910</v>
      </c>
      <c r="X10" s="14">
        <v>0.0325545638043142</v>
      </c>
      <c r="Y10" s="39">
        <v>1015803</v>
      </c>
      <c r="Z10" s="43">
        <v>-0.0973545067301435</v>
      </c>
    </row>
    <row r="11" customFormat="1" spans="1:26">
      <c r="A11" s="11"/>
      <c r="B11" s="12" t="s">
        <v>33</v>
      </c>
      <c r="C11" s="13">
        <v>7942174</v>
      </c>
      <c r="D11" s="13">
        <v>31063293</v>
      </c>
      <c r="E11" s="14">
        <v>-0.744322857206414</v>
      </c>
      <c r="F11" s="13">
        <v>12061667</v>
      </c>
      <c r="G11" s="14">
        <v>-0.341535958503912</v>
      </c>
      <c r="H11" s="14">
        <v>0.0179238126016401</v>
      </c>
      <c r="I11" s="35">
        <v>2397.3820381</v>
      </c>
      <c r="J11" s="35">
        <v>6722.2901927</v>
      </c>
      <c r="K11" s="14">
        <v>-0.643368261503585</v>
      </c>
      <c r="L11" s="35">
        <v>3177.3197558</v>
      </c>
      <c r="M11" s="14">
        <v>-0.245470326452436</v>
      </c>
      <c r="N11" s="14">
        <v>0.00654166990278415</v>
      </c>
      <c r="O11" s="13">
        <v>7942174</v>
      </c>
      <c r="P11" s="13">
        <v>31063293</v>
      </c>
      <c r="Q11" s="14">
        <v>-0.744322857206414</v>
      </c>
      <c r="R11" s="14">
        <v>0.0179238126016401</v>
      </c>
      <c r="S11" s="35">
        <v>2397.3820381</v>
      </c>
      <c r="T11" s="35">
        <v>6722.2901927</v>
      </c>
      <c r="U11" s="14">
        <v>-0.643368261503585</v>
      </c>
      <c r="V11" s="14">
        <v>0.00654166990278415</v>
      </c>
      <c r="W11" s="39">
        <v>431965</v>
      </c>
      <c r="X11" s="14">
        <v>0.015336763863117</v>
      </c>
      <c r="Y11" s="39">
        <v>493517</v>
      </c>
      <c r="Z11" s="43">
        <v>-0.124721134226379</v>
      </c>
    </row>
    <row r="12" customFormat="1" spans="1:26">
      <c r="A12" s="11"/>
      <c r="B12" s="12" t="s">
        <v>34</v>
      </c>
      <c r="C12" s="13">
        <v>1925160</v>
      </c>
      <c r="D12" s="13">
        <v>1757012</v>
      </c>
      <c r="E12" s="14">
        <v>0.0957011107493859</v>
      </c>
      <c r="F12" s="13">
        <v>1945410</v>
      </c>
      <c r="G12" s="14">
        <v>-0.0104091168442642</v>
      </c>
      <c r="H12" s="14">
        <v>0.00434468031903778</v>
      </c>
      <c r="I12" s="35">
        <v>1488.66785125</v>
      </c>
      <c r="J12" s="35">
        <v>1323.0840595</v>
      </c>
      <c r="K12" s="14">
        <v>0.125149865241801</v>
      </c>
      <c r="L12" s="35">
        <v>1497.7973935</v>
      </c>
      <c r="M12" s="14">
        <v>-0.00609531188238111</v>
      </c>
      <c r="N12" s="14">
        <v>0.00406208669415178</v>
      </c>
      <c r="O12" s="13">
        <v>1925160</v>
      </c>
      <c r="P12" s="13">
        <v>1757012</v>
      </c>
      <c r="Q12" s="14">
        <v>0.0957011107493859</v>
      </c>
      <c r="R12" s="14">
        <v>0.00434468031903778</v>
      </c>
      <c r="S12" s="35">
        <v>1488.66785125</v>
      </c>
      <c r="T12" s="35">
        <v>1323.0840595</v>
      </c>
      <c r="U12" s="14">
        <v>0.125149865241801</v>
      </c>
      <c r="V12" s="14">
        <v>0.00406208669415178</v>
      </c>
      <c r="W12" s="39">
        <v>96567</v>
      </c>
      <c r="X12" s="14">
        <v>0.00342857702816111</v>
      </c>
      <c r="Y12" s="39">
        <v>76871</v>
      </c>
      <c r="Z12" s="43">
        <v>0.256221461929726</v>
      </c>
    </row>
    <row r="13" customFormat="1" spans="1:26">
      <c r="A13" s="11"/>
      <c r="B13" s="12" t="s">
        <v>35</v>
      </c>
      <c r="C13" s="13">
        <v>9839931</v>
      </c>
      <c r="D13" s="13">
        <v>19518464</v>
      </c>
      <c r="E13" s="14">
        <v>-0.495865504580688</v>
      </c>
      <c r="F13" s="13">
        <v>8009162</v>
      </c>
      <c r="G13" s="14">
        <v>0.228584338786005</v>
      </c>
      <c r="H13" s="14">
        <v>0.0222066501259063</v>
      </c>
      <c r="I13" s="35">
        <v>16150.5210712</v>
      </c>
      <c r="J13" s="35">
        <v>25776.4616273</v>
      </c>
      <c r="K13" s="14">
        <v>-0.37343917467342</v>
      </c>
      <c r="L13" s="35">
        <v>11752.066452</v>
      </c>
      <c r="M13" s="14">
        <v>0.374270740993935</v>
      </c>
      <c r="N13" s="14">
        <v>0.0440694790929035</v>
      </c>
      <c r="O13" s="13">
        <v>9839931</v>
      </c>
      <c r="P13" s="13">
        <v>19518464</v>
      </c>
      <c r="Q13" s="14">
        <v>-0.495865504580688</v>
      </c>
      <c r="R13" s="14">
        <v>0.0222066501259063</v>
      </c>
      <c r="S13" s="35">
        <v>16150.5210712</v>
      </c>
      <c r="T13" s="35">
        <v>25776.4616273</v>
      </c>
      <c r="U13" s="14">
        <v>-0.37343917467342</v>
      </c>
      <c r="V13" s="14">
        <v>0.0440694790929035</v>
      </c>
      <c r="W13" s="39">
        <v>250607</v>
      </c>
      <c r="X13" s="14">
        <v>0.00889771250319852</v>
      </c>
      <c r="Y13" s="39">
        <v>296290</v>
      </c>
      <c r="Z13" s="43">
        <v>-0.15418340139728</v>
      </c>
    </row>
    <row r="14" customFormat="1" spans="1:26">
      <c r="A14" s="11"/>
      <c r="B14" s="12" t="s">
        <v>36</v>
      </c>
      <c r="C14" s="13">
        <v>27640801</v>
      </c>
      <c r="D14" s="13">
        <v>42269431</v>
      </c>
      <c r="E14" s="14">
        <v>-0.346080599003095</v>
      </c>
      <c r="F14" s="13">
        <v>52348380</v>
      </c>
      <c r="G14" s="14">
        <v>-0.471983641136555</v>
      </c>
      <c r="H14" s="14">
        <v>0.0623794615030126</v>
      </c>
      <c r="I14" s="35">
        <v>12695.5023133</v>
      </c>
      <c r="J14" s="35">
        <v>18339.4227247</v>
      </c>
      <c r="K14" s="14">
        <v>-0.307747986189261</v>
      </c>
      <c r="L14" s="35">
        <v>22977.5659533</v>
      </c>
      <c r="M14" s="14">
        <v>-0.447482716876863</v>
      </c>
      <c r="N14" s="14">
        <v>0.0346418651945273</v>
      </c>
      <c r="O14" s="13">
        <v>27640801</v>
      </c>
      <c r="P14" s="13">
        <v>42269431</v>
      </c>
      <c r="Q14" s="14">
        <v>-0.346080599003095</v>
      </c>
      <c r="R14" s="14">
        <v>0.0623794615030126</v>
      </c>
      <c r="S14" s="35">
        <v>12695.5023133</v>
      </c>
      <c r="T14" s="35">
        <v>18339.4227247</v>
      </c>
      <c r="U14" s="14">
        <v>-0.307747986189261</v>
      </c>
      <c r="V14" s="14">
        <v>0.0346418651945273</v>
      </c>
      <c r="W14" s="39">
        <v>2093075</v>
      </c>
      <c r="X14" s="14">
        <v>0.0743138842794984</v>
      </c>
      <c r="Y14" s="39">
        <v>2553290</v>
      </c>
      <c r="Z14" s="43">
        <v>-0.180243920588731</v>
      </c>
    </row>
    <row r="15" customFormat="1" spans="1:26">
      <c r="A15" s="11"/>
      <c r="B15" s="12" t="s">
        <v>37</v>
      </c>
      <c r="C15" s="13">
        <v>9050603</v>
      </c>
      <c r="D15" s="13">
        <v>6007639</v>
      </c>
      <c r="E15" s="14">
        <v>0.506515787649691</v>
      </c>
      <c r="F15" s="13">
        <v>11463349</v>
      </c>
      <c r="G15" s="14">
        <v>-0.210474792314183</v>
      </c>
      <c r="H15" s="14">
        <v>0.0204253032109146</v>
      </c>
      <c r="I15" s="35">
        <v>9608.39173225</v>
      </c>
      <c r="J15" s="35">
        <v>4508.428071</v>
      </c>
      <c r="K15" s="14">
        <v>1.13120661590566</v>
      </c>
      <c r="L15" s="35">
        <v>11124.5319395</v>
      </c>
      <c r="M15" s="14">
        <v>-0.136287999845335</v>
      </c>
      <c r="N15" s="14">
        <v>0.0262181521385029</v>
      </c>
      <c r="O15" s="13">
        <v>9050603</v>
      </c>
      <c r="P15" s="13">
        <v>6007639</v>
      </c>
      <c r="Q15" s="14">
        <v>0.506515787649691</v>
      </c>
      <c r="R15" s="14">
        <v>0.0204253032109146</v>
      </c>
      <c r="S15" s="35">
        <v>9608.39173225</v>
      </c>
      <c r="T15" s="35">
        <v>4508.428071</v>
      </c>
      <c r="U15" s="14">
        <v>1.13120661590566</v>
      </c>
      <c r="V15" s="14">
        <v>0.0262181521385029</v>
      </c>
      <c r="W15" s="39">
        <v>459313</v>
      </c>
      <c r="X15" s="14">
        <v>0.01630774488734</v>
      </c>
      <c r="Y15" s="39">
        <v>498116</v>
      </c>
      <c r="Z15" s="43">
        <v>-0.0778995254117515</v>
      </c>
    </row>
    <row r="16" customFormat="1" spans="1:26">
      <c r="A16" s="11"/>
      <c r="B16" s="12" t="s">
        <v>38</v>
      </c>
      <c r="C16" s="13">
        <v>2936332</v>
      </c>
      <c r="D16" s="13">
        <v>3972973</v>
      </c>
      <c r="E16" s="14">
        <v>-0.260923243122971</v>
      </c>
      <c r="F16" s="13">
        <v>4062142</v>
      </c>
      <c r="G16" s="14">
        <v>-0.27714688457469</v>
      </c>
      <c r="H16" s="14">
        <v>0.00662668237993769</v>
      </c>
      <c r="I16" s="35">
        <v>10979.4687354</v>
      </c>
      <c r="J16" s="35">
        <v>15557.3616692</v>
      </c>
      <c r="K16" s="14">
        <v>-0.294258951558809</v>
      </c>
      <c r="L16" s="35">
        <v>15014.4851314</v>
      </c>
      <c r="M16" s="14">
        <v>-0.268741575930667</v>
      </c>
      <c r="N16" s="14">
        <v>0.0299593719455113</v>
      </c>
      <c r="O16" s="13">
        <v>2936332</v>
      </c>
      <c r="P16" s="13">
        <v>3972973</v>
      </c>
      <c r="Q16" s="14">
        <v>-0.260923243122971</v>
      </c>
      <c r="R16" s="14">
        <v>0.00662668237993769</v>
      </c>
      <c r="S16" s="35">
        <v>10979.4687354</v>
      </c>
      <c r="T16" s="35">
        <v>15557.3616692</v>
      </c>
      <c r="U16" s="14">
        <v>-0.294258951558809</v>
      </c>
      <c r="V16" s="14">
        <v>0.0299593719455113</v>
      </c>
      <c r="W16" s="39">
        <v>177356</v>
      </c>
      <c r="X16" s="14">
        <v>0.00629696177168745</v>
      </c>
      <c r="Y16" s="39">
        <v>177528</v>
      </c>
      <c r="Z16" s="43">
        <v>-0.000968861250056329</v>
      </c>
    </row>
    <row r="17" customFormat="1" spans="1:26">
      <c r="A17" s="11"/>
      <c r="B17" s="12" t="s">
        <v>39</v>
      </c>
      <c r="C17" s="13">
        <v>3122070</v>
      </c>
      <c r="D17" s="13">
        <v>3412143</v>
      </c>
      <c r="E17" s="14">
        <v>-0.0850119704830659</v>
      </c>
      <c r="F17" s="13">
        <v>2364778</v>
      </c>
      <c r="G17" s="14">
        <v>0.320238094231256</v>
      </c>
      <c r="H17" s="14">
        <v>0.00704585389456371</v>
      </c>
      <c r="I17" s="35">
        <v>2754.60671275</v>
      </c>
      <c r="J17" s="35">
        <v>2423.7279875</v>
      </c>
      <c r="K17" s="14">
        <v>0.136516443658882</v>
      </c>
      <c r="L17" s="35">
        <v>1932.73394525</v>
      </c>
      <c r="M17" s="14">
        <v>0.425238439837973</v>
      </c>
      <c r="N17" s="14">
        <v>0.00751641896887034</v>
      </c>
      <c r="O17" s="13">
        <v>3122070</v>
      </c>
      <c r="P17" s="13">
        <v>3412143</v>
      </c>
      <c r="Q17" s="14">
        <v>-0.0850119704830659</v>
      </c>
      <c r="R17" s="14">
        <v>0.00704585389456371</v>
      </c>
      <c r="S17" s="35">
        <v>2754.60671275</v>
      </c>
      <c r="T17" s="35">
        <v>2423.7279875</v>
      </c>
      <c r="U17" s="14">
        <v>0.136516443658882</v>
      </c>
      <c r="V17" s="14">
        <v>0.00751641896887034</v>
      </c>
      <c r="W17" s="39">
        <v>105551</v>
      </c>
      <c r="X17" s="14">
        <v>0.00374755075646374</v>
      </c>
      <c r="Y17" s="39">
        <v>113441</v>
      </c>
      <c r="Z17" s="43">
        <v>-0.0695515730644123</v>
      </c>
    </row>
    <row r="18" customFormat="1" spans="1:26">
      <c r="A18" s="11"/>
      <c r="B18" s="12" t="s">
        <v>40</v>
      </c>
      <c r="C18" s="13">
        <v>12507643</v>
      </c>
      <c r="D18" s="13">
        <v>31715280</v>
      </c>
      <c r="E18" s="14">
        <v>-0.605627224479809</v>
      </c>
      <c r="F18" s="13">
        <v>16148216</v>
      </c>
      <c r="G18" s="14">
        <v>-0.225447380688988</v>
      </c>
      <c r="H18" s="14">
        <v>0.0282271137877634</v>
      </c>
      <c r="I18" s="35">
        <v>9037.8656397</v>
      </c>
      <c r="J18" s="35">
        <v>25593.87806385</v>
      </c>
      <c r="K18" s="14">
        <v>-0.646873927540293</v>
      </c>
      <c r="L18" s="35">
        <v>11509.1045331</v>
      </c>
      <c r="M18" s="14">
        <v>-0.214720344775109</v>
      </c>
      <c r="N18" s="14">
        <v>0.0246613734069223</v>
      </c>
      <c r="O18" s="13">
        <v>12507643</v>
      </c>
      <c r="P18" s="13">
        <v>31715280</v>
      </c>
      <c r="Q18" s="14">
        <v>-0.605627224479809</v>
      </c>
      <c r="R18" s="14">
        <v>0.0282271137877634</v>
      </c>
      <c r="S18" s="35">
        <v>9037.8656397</v>
      </c>
      <c r="T18" s="35">
        <v>25593.87806385</v>
      </c>
      <c r="U18" s="14">
        <v>-0.646873927540293</v>
      </c>
      <c r="V18" s="14">
        <v>0.0246613734069223</v>
      </c>
      <c r="W18" s="39">
        <v>633441</v>
      </c>
      <c r="X18" s="14">
        <v>0.0224900976658217</v>
      </c>
      <c r="Y18" s="39">
        <v>666393</v>
      </c>
      <c r="Z18" s="43">
        <v>-0.0494482985265451</v>
      </c>
    </row>
    <row r="19" customFormat="1" spans="1:26">
      <c r="A19" s="11"/>
      <c r="B19" s="12" t="s">
        <v>41</v>
      </c>
      <c r="C19" s="13">
        <v>426446</v>
      </c>
      <c r="D19" s="13">
        <v>289974</v>
      </c>
      <c r="E19" s="14">
        <v>0.470635298337092</v>
      </c>
      <c r="F19" s="13">
        <v>466953</v>
      </c>
      <c r="G19" s="14">
        <v>-0.0867474885052671</v>
      </c>
      <c r="H19" s="14">
        <v>0.000962398732226092</v>
      </c>
      <c r="I19" s="35">
        <v>5.6874789</v>
      </c>
      <c r="J19" s="35">
        <v>2.9070546</v>
      </c>
      <c r="K19" s="14">
        <v>0.956440343432146</v>
      </c>
      <c r="L19" s="35">
        <v>5.7550127</v>
      </c>
      <c r="M19" s="14">
        <v>-0.0117347786217744</v>
      </c>
      <c r="N19" s="14">
        <v>1.55192659958096e-5</v>
      </c>
      <c r="O19" s="13">
        <v>426446</v>
      </c>
      <c r="P19" s="13">
        <v>289974</v>
      </c>
      <c r="Q19" s="14">
        <v>0.470635298337092</v>
      </c>
      <c r="R19" s="14">
        <v>0.000962398732226092</v>
      </c>
      <c r="S19" s="35">
        <v>5.6874789</v>
      </c>
      <c r="T19" s="35">
        <v>2.9070546</v>
      </c>
      <c r="U19" s="14">
        <v>0.956440343432146</v>
      </c>
      <c r="V19" s="14">
        <v>1.55192659958096e-5</v>
      </c>
      <c r="W19" s="39">
        <v>20310</v>
      </c>
      <c r="X19" s="14">
        <v>0.000721099334575499</v>
      </c>
      <c r="Y19" s="39">
        <v>20490</v>
      </c>
      <c r="Z19" s="43">
        <v>-0.00878477306002928</v>
      </c>
    </row>
    <row r="20" customFormat="1" spans="1:26">
      <c r="A20" s="11"/>
      <c r="B20" s="12" t="s">
        <v>42</v>
      </c>
      <c r="C20" s="13">
        <v>840667</v>
      </c>
      <c r="D20" s="13">
        <v>485955</v>
      </c>
      <c r="E20" s="14">
        <v>0.72992766819973</v>
      </c>
      <c r="F20" s="13">
        <v>831703</v>
      </c>
      <c r="G20" s="14">
        <v>0.0107778858558885</v>
      </c>
      <c r="H20" s="14">
        <v>0.00189720821633762</v>
      </c>
      <c r="I20" s="35">
        <v>16.7903595</v>
      </c>
      <c r="J20" s="35">
        <v>14.2285789</v>
      </c>
      <c r="K20" s="14">
        <v>0.180044726743582</v>
      </c>
      <c r="L20" s="35">
        <v>16.3635738</v>
      </c>
      <c r="M20" s="14">
        <v>0.026081448051403</v>
      </c>
      <c r="N20" s="14">
        <v>4.5815388474807e-5</v>
      </c>
      <c r="O20" s="13">
        <v>840667</v>
      </c>
      <c r="P20" s="13">
        <v>485955</v>
      </c>
      <c r="Q20" s="14">
        <v>0.72992766819973</v>
      </c>
      <c r="R20" s="14">
        <v>0.00189720821633762</v>
      </c>
      <c r="S20" s="35">
        <v>16.7903595</v>
      </c>
      <c r="T20" s="35">
        <v>14.2285789</v>
      </c>
      <c r="U20" s="14">
        <v>0.180044726743582</v>
      </c>
      <c r="V20" s="14">
        <v>4.5815388474807e-5</v>
      </c>
      <c r="W20" s="39">
        <v>36823</v>
      </c>
      <c r="X20" s="14">
        <v>0.00130738753309077</v>
      </c>
      <c r="Y20" s="39">
        <v>31410</v>
      </c>
      <c r="Z20" s="43">
        <v>0.172333651703279</v>
      </c>
    </row>
    <row r="21" customFormat="1" spans="1:26">
      <c r="A21" s="11"/>
      <c r="B21" s="12" t="s">
        <v>43</v>
      </c>
      <c r="C21" s="13">
        <v>273728</v>
      </c>
      <c r="D21" s="13">
        <v>316718</v>
      </c>
      <c r="E21" s="14">
        <v>-0.135735891234474</v>
      </c>
      <c r="F21" s="13">
        <v>399584</v>
      </c>
      <c r="G21" s="14">
        <v>-0.31496756626892</v>
      </c>
      <c r="H21" s="14">
        <v>0.000617746397374542</v>
      </c>
      <c r="I21" s="35">
        <v>11.648618</v>
      </c>
      <c r="J21" s="35">
        <v>17.8405207</v>
      </c>
      <c r="K21" s="14">
        <v>-0.347069617760652</v>
      </c>
      <c r="L21" s="35">
        <v>9.5382055</v>
      </c>
      <c r="M21" s="14">
        <v>0.221258862581646</v>
      </c>
      <c r="N21" s="14">
        <v>3.1785260992454e-5</v>
      </c>
      <c r="O21" s="13">
        <v>273728</v>
      </c>
      <c r="P21" s="13">
        <v>316718</v>
      </c>
      <c r="Q21" s="14">
        <v>-0.135735891234474</v>
      </c>
      <c r="R21" s="14">
        <v>0.000617746397374542</v>
      </c>
      <c r="S21" s="35">
        <v>11.648618</v>
      </c>
      <c r="T21" s="35">
        <v>17.8405207</v>
      </c>
      <c r="U21" s="14">
        <v>-0.347069617760652</v>
      </c>
      <c r="V21" s="14">
        <v>3.1785260992454e-5</v>
      </c>
      <c r="W21" s="39">
        <v>57568</v>
      </c>
      <c r="X21" s="14">
        <v>0.00204393138812616</v>
      </c>
      <c r="Y21" s="39">
        <v>35638</v>
      </c>
      <c r="Z21" s="43">
        <v>0.615354396991975</v>
      </c>
    </row>
    <row r="22" customFormat="1" spans="1:26">
      <c r="A22" s="11"/>
      <c r="B22" s="12" t="s">
        <v>44</v>
      </c>
      <c r="C22" s="13">
        <v>842924</v>
      </c>
      <c r="D22" s="13">
        <v>319716</v>
      </c>
      <c r="E22" s="14">
        <v>1.63647737366913</v>
      </c>
      <c r="F22" s="13">
        <v>741264</v>
      </c>
      <c r="G22" s="14">
        <v>0.137144121392648</v>
      </c>
      <c r="H22" s="14">
        <v>0.00190230178958871</v>
      </c>
      <c r="I22" s="35">
        <v>9.07487485</v>
      </c>
      <c r="J22" s="35">
        <v>2.1830434</v>
      </c>
      <c r="K22" s="14">
        <v>3.15698325099721</v>
      </c>
      <c r="L22" s="35">
        <v>7.1036728</v>
      </c>
      <c r="M22" s="14">
        <v>0.277490546861899</v>
      </c>
      <c r="N22" s="14">
        <v>2.47623594130314e-5</v>
      </c>
      <c r="O22" s="13">
        <v>842924</v>
      </c>
      <c r="P22" s="13">
        <v>319716</v>
      </c>
      <c r="Q22" s="14">
        <v>1.63647737366913</v>
      </c>
      <c r="R22" s="14">
        <v>0.00190230178958871</v>
      </c>
      <c r="S22" s="35">
        <v>9.07487485</v>
      </c>
      <c r="T22" s="35">
        <v>2.1830434</v>
      </c>
      <c r="U22" s="14">
        <v>3.15698325099721</v>
      </c>
      <c r="V22" s="14">
        <v>2.47623594130314e-5</v>
      </c>
      <c r="W22" s="39">
        <v>35540</v>
      </c>
      <c r="X22" s="14">
        <v>0.00126183507389528</v>
      </c>
      <c r="Y22" s="39">
        <v>30387</v>
      </c>
      <c r="Z22" s="43">
        <v>0.169579096324086</v>
      </c>
    </row>
    <row r="23" customFormat="1" spans="1:26">
      <c r="A23" s="11"/>
      <c r="B23" s="12" t="s">
        <v>45</v>
      </c>
      <c r="C23" s="13">
        <v>284236</v>
      </c>
      <c r="D23" s="13">
        <v>309948</v>
      </c>
      <c r="E23" s="14">
        <v>-0.0829558506588202</v>
      </c>
      <c r="F23" s="13">
        <v>216768</v>
      </c>
      <c r="G23" s="14">
        <v>0.311245202243874</v>
      </c>
      <c r="H23" s="14">
        <v>0.000641460738412403</v>
      </c>
      <c r="I23" s="35">
        <v>11.1056686</v>
      </c>
      <c r="J23" s="35">
        <v>14.9767708</v>
      </c>
      <c r="K23" s="14">
        <v>-0.258473755904711</v>
      </c>
      <c r="L23" s="35">
        <v>9.7382158</v>
      </c>
      <c r="M23" s="14">
        <v>0.140421287439533</v>
      </c>
      <c r="N23" s="14">
        <v>3.03037300173034e-5</v>
      </c>
      <c r="O23" s="13">
        <v>284236</v>
      </c>
      <c r="P23" s="13">
        <v>309948</v>
      </c>
      <c r="Q23" s="14">
        <v>-0.0829558506588202</v>
      </c>
      <c r="R23" s="14">
        <v>0.000641460738412403</v>
      </c>
      <c r="S23" s="35">
        <v>11.1056686</v>
      </c>
      <c r="T23" s="35">
        <v>14.9767708</v>
      </c>
      <c r="U23" s="14">
        <v>-0.258473755904711</v>
      </c>
      <c r="V23" s="14">
        <v>3.03037300173034e-5</v>
      </c>
      <c r="W23" s="39">
        <v>21469</v>
      </c>
      <c r="X23" s="14">
        <v>0.0007622492178238</v>
      </c>
      <c r="Y23" s="39">
        <v>26935</v>
      </c>
      <c r="Z23" s="43">
        <v>-0.202932986820123</v>
      </c>
    </row>
    <row r="24" customFormat="1" spans="1:26">
      <c r="A24" s="11"/>
      <c r="B24" s="71" t="s">
        <v>46</v>
      </c>
      <c r="C24" s="72">
        <v>120691922</v>
      </c>
      <c r="D24" s="16">
        <v>205590863</v>
      </c>
      <c r="E24" s="73">
        <v>-0.412950944225571</v>
      </c>
      <c r="F24" s="16">
        <v>169722618</v>
      </c>
      <c r="G24" s="73">
        <v>-0.28888722421192</v>
      </c>
      <c r="H24" s="73">
        <v>0.272376227524072</v>
      </c>
      <c r="I24" s="83">
        <v>112179.1384024</v>
      </c>
      <c r="J24" s="83">
        <v>158561.9077336</v>
      </c>
      <c r="K24" s="73">
        <v>-0.292521514115028</v>
      </c>
      <c r="L24" s="83">
        <v>132941.7821615</v>
      </c>
      <c r="M24" s="73">
        <v>-0.156178467156978</v>
      </c>
      <c r="N24" s="73">
        <v>0.306100104924799</v>
      </c>
      <c r="O24" s="72">
        <v>120691922</v>
      </c>
      <c r="P24" s="72">
        <v>205590863</v>
      </c>
      <c r="Q24" s="73">
        <v>-0.412950944225571</v>
      </c>
      <c r="R24" s="73">
        <v>0.272376227524072</v>
      </c>
      <c r="S24" s="86">
        <v>112179.1384024</v>
      </c>
      <c r="T24" s="86">
        <v>158561.9077336</v>
      </c>
      <c r="U24" s="73">
        <v>-0.292521514115028</v>
      </c>
      <c r="V24" s="73">
        <v>0.306100104924799</v>
      </c>
      <c r="W24" s="87">
        <v>7328348</v>
      </c>
      <c r="X24" s="73">
        <v>0.260190392237208</v>
      </c>
      <c r="Y24" s="87">
        <v>8030956</v>
      </c>
      <c r="Z24" s="89">
        <v>-0.0874874672454936</v>
      </c>
    </row>
    <row r="25" customFormat="1" spans="1:26">
      <c r="A25" s="18" t="s">
        <v>47</v>
      </c>
      <c r="B25" s="12" t="s">
        <v>48</v>
      </c>
      <c r="C25" s="13">
        <v>3304200</v>
      </c>
      <c r="D25" s="13">
        <v>3688005</v>
      </c>
      <c r="E25" s="14">
        <v>-0.104068459777034</v>
      </c>
      <c r="F25" s="13">
        <v>4950127</v>
      </c>
      <c r="G25" s="14">
        <v>-0.332501974191773</v>
      </c>
      <c r="H25" s="19">
        <v>0.00745688291371347</v>
      </c>
      <c r="I25" s="35">
        <v>17394.634596</v>
      </c>
      <c r="J25" s="35">
        <v>12322.724108</v>
      </c>
      <c r="K25" s="14">
        <v>0.411590038334728</v>
      </c>
      <c r="L25" s="35">
        <v>22966.414254</v>
      </c>
      <c r="M25" s="14">
        <v>-0.242605554196584</v>
      </c>
      <c r="N25" s="19">
        <v>0.0474642571764504</v>
      </c>
      <c r="O25" s="13">
        <v>3304200</v>
      </c>
      <c r="P25" s="13">
        <v>3688005</v>
      </c>
      <c r="Q25" s="14">
        <v>-0.104068459777034</v>
      </c>
      <c r="R25" s="19">
        <v>0.00745688291371347</v>
      </c>
      <c r="S25" s="35">
        <v>17394.634596</v>
      </c>
      <c r="T25" s="35">
        <v>12322.724108</v>
      </c>
      <c r="U25" s="14">
        <v>0.411590038334728</v>
      </c>
      <c r="V25" s="19">
        <v>0.0474642571764504</v>
      </c>
      <c r="W25" s="39">
        <v>61565</v>
      </c>
      <c r="X25" s="14">
        <v>0.00218584345313346</v>
      </c>
      <c r="Y25" s="39">
        <v>67512</v>
      </c>
      <c r="Z25" s="43">
        <v>-0.0880880436070624</v>
      </c>
    </row>
    <row r="26" customFormat="1" spans="1:26">
      <c r="A26" s="20"/>
      <c r="B26" s="12" t="s">
        <v>49</v>
      </c>
      <c r="C26" s="13">
        <v>301314</v>
      </c>
      <c r="D26" s="13">
        <v>347761</v>
      </c>
      <c r="E26" s="14">
        <v>-0.133560117436975</v>
      </c>
      <c r="F26" s="13">
        <v>337379</v>
      </c>
      <c r="G26" s="14">
        <v>-0.106897584022716</v>
      </c>
      <c r="H26" s="19">
        <v>0.000680002184571957</v>
      </c>
      <c r="I26" s="35">
        <v>946.2695125</v>
      </c>
      <c r="J26" s="35">
        <v>910.846606</v>
      </c>
      <c r="K26" s="14">
        <v>0.0388900900180771</v>
      </c>
      <c r="L26" s="35">
        <v>1039.560639</v>
      </c>
      <c r="M26" s="14">
        <v>-0.0897409184227492</v>
      </c>
      <c r="N26" s="19">
        <v>0.00258205938455658</v>
      </c>
      <c r="O26" s="13">
        <v>301314</v>
      </c>
      <c r="P26" s="13">
        <v>347761</v>
      </c>
      <c r="Q26" s="14">
        <v>-0.133560117436975</v>
      </c>
      <c r="R26" s="19">
        <v>0.000680002184571957</v>
      </c>
      <c r="S26" s="35">
        <v>946.2695125</v>
      </c>
      <c r="T26" s="35">
        <v>910.846606</v>
      </c>
      <c r="U26" s="14">
        <v>0.0388900900180771</v>
      </c>
      <c r="V26" s="19">
        <v>0.00258205938455658</v>
      </c>
      <c r="W26" s="39">
        <v>15018</v>
      </c>
      <c r="X26" s="14">
        <v>0.000533208754635886</v>
      </c>
      <c r="Y26" s="39">
        <v>11207</v>
      </c>
      <c r="Z26" s="43">
        <v>0.340055322566253</v>
      </c>
    </row>
    <row r="27" customFormat="1" spans="1:26">
      <c r="A27" s="20"/>
      <c r="B27" s="12" t="s">
        <v>50</v>
      </c>
      <c r="C27" s="13">
        <v>1437711</v>
      </c>
      <c r="D27" s="13">
        <v>1682665</v>
      </c>
      <c r="E27" s="14">
        <v>-0.14557502533184</v>
      </c>
      <c r="F27" s="13">
        <v>1743886</v>
      </c>
      <c r="G27" s="14">
        <v>-0.175570536147432</v>
      </c>
      <c r="H27" s="19">
        <v>0.0032446106745227</v>
      </c>
      <c r="I27" s="35">
        <v>560.7652219</v>
      </c>
      <c r="J27" s="35">
        <v>471.1101616</v>
      </c>
      <c r="K27" s="14">
        <v>0.190305936079813</v>
      </c>
      <c r="L27" s="35">
        <v>603.1226841</v>
      </c>
      <c r="M27" s="14">
        <v>-0.0702302588124458</v>
      </c>
      <c r="N27" s="19">
        <v>0.00153014451444651</v>
      </c>
      <c r="O27" s="13">
        <v>1437711</v>
      </c>
      <c r="P27" s="13">
        <v>1682665</v>
      </c>
      <c r="Q27" s="14">
        <v>-0.14557502533184</v>
      </c>
      <c r="R27" s="19">
        <v>0.0032446106745227</v>
      </c>
      <c r="S27" s="35">
        <v>560.7652219</v>
      </c>
      <c r="T27" s="35">
        <v>471.1101616</v>
      </c>
      <c r="U27" s="14">
        <v>0.190305936079813</v>
      </c>
      <c r="V27" s="19">
        <v>0.00153014451444651</v>
      </c>
      <c r="W27" s="39">
        <v>83947</v>
      </c>
      <c r="X27" s="14">
        <v>0.00298050841160066</v>
      </c>
      <c r="Y27" s="39">
        <v>75713</v>
      </c>
      <c r="Z27" s="43">
        <v>0.108752790141719</v>
      </c>
    </row>
    <row r="28" customFormat="1" spans="1:26">
      <c r="A28" s="20"/>
      <c r="B28" s="12" t="s">
        <v>51</v>
      </c>
      <c r="C28" s="13">
        <v>778557</v>
      </c>
      <c r="D28" s="13">
        <v>533418</v>
      </c>
      <c r="E28" s="14">
        <v>0.459562669426229</v>
      </c>
      <c r="F28" s="13">
        <v>844990</v>
      </c>
      <c r="G28" s="14">
        <v>-0.07861986532385</v>
      </c>
      <c r="H28" s="19">
        <v>0.00175703903839114</v>
      </c>
      <c r="I28" s="35">
        <v>922.0722415</v>
      </c>
      <c r="J28" s="35">
        <v>573.705777</v>
      </c>
      <c r="K28" s="14">
        <v>0.607221468679755</v>
      </c>
      <c r="L28" s="35">
        <v>966.051877</v>
      </c>
      <c r="M28" s="14">
        <v>-0.0455251281500279</v>
      </c>
      <c r="N28" s="19">
        <v>0.00251603296201958</v>
      </c>
      <c r="O28" s="13">
        <v>778557</v>
      </c>
      <c r="P28" s="13">
        <v>533418</v>
      </c>
      <c r="Q28" s="14">
        <v>0.459562669426229</v>
      </c>
      <c r="R28" s="19">
        <v>0.00175703903839114</v>
      </c>
      <c r="S28" s="35">
        <v>922.0722415</v>
      </c>
      <c r="T28" s="35">
        <v>573.705777</v>
      </c>
      <c r="U28" s="14">
        <v>0.607221468679755</v>
      </c>
      <c r="V28" s="19">
        <v>0.00251603296201958</v>
      </c>
      <c r="W28" s="39">
        <v>58823</v>
      </c>
      <c r="X28" s="14">
        <v>0.00208848971726906</v>
      </c>
      <c r="Y28" s="39">
        <v>55694</v>
      </c>
      <c r="Z28" s="43">
        <v>0.0561819944697813</v>
      </c>
    </row>
    <row r="29" customFormat="1" spans="1:26">
      <c r="A29" s="20"/>
      <c r="B29" s="12" t="s">
        <v>52</v>
      </c>
      <c r="C29" s="13">
        <v>252236</v>
      </c>
      <c r="D29" s="13">
        <v>0</v>
      </c>
      <c r="E29" s="14">
        <v>0</v>
      </c>
      <c r="F29" s="13">
        <v>378989</v>
      </c>
      <c r="G29" s="14">
        <v>-0.334450340247342</v>
      </c>
      <c r="H29" s="19">
        <v>0.00056924348363399</v>
      </c>
      <c r="I29" s="35">
        <v>20.5861505</v>
      </c>
      <c r="J29" s="35">
        <v>0</v>
      </c>
      <c r="K29" s="14">
        <v>0</v>
      </c>
      <c r="L29" s="35">
        <v>24.005356</v>
      </c>
      <c r="M29" s="14">
        <v>-0.142435109064827</v>
      </c>
      <c r="N29" s="19">
        <v>5.61728581426944e-5</v>
      </c>
      <c r="O29" s="13">
        <v>252236</v>
      </c>
      <c r="P29" s="13">
        <v>0</v>
      </c>
      <c r="Q29" s="14">
        <v>0</v>
      </c>
      <c r="R29" s="19">
        <v>0.00056924348363399</v>
      </c>
      <c r="S29" s="35">
        <v>20.5861505</v>
      </c>
      <c r="T29" s="35">
        <v>0</v>
      </c>
      <c r="U29" s="14">
        <v>0</v>
      </c>
      <c r="V29" s="19">
        <v>5.61728581426944e-5</v>
      </c>
      <c r="W29" s="39">
        <v>18774</v>
      </c>
      <c r="X29" s="14">
        <v>0.00066656420026196</v>
      </c>
      <c r="Y29" s="39">
        <v>20206</v>
      </c>
      <c r="Z29" s="43">
        <v>-0.0708700386023953</v>
      </c>
    </row>
    <row r="30" customFormat="1" spans="1:26">
      <c r="A30" s="74"/>
      <c r="B30" s="75" t="s">
        <v>46</v>
      </c>
      <c r="C30" s="76">
        <v>6074018</v>
      </c>
      <c r="D30" s="76">
        <v>6251849</v>
      </c>
      <c r="E30" s="77">
        <v>-0.0284445449658173</v>
      </c>
      <c r="F30" s="76">
        <v>8255371</v>
      </c>
      <c r="G30" s="77">
        <v>-0.264234399641155</v>
      </c>
      <c r="H30" s="77">
        <v>0.0137077782948333</v>
      </c>
      <c r="I30" s="84">
        <v>19844.3277224</v>
      </c>
      <c r="J30" s="84">
        <v>14278.3866526</v>
      </c>
      <c r="K30" s="77">
        <v>0.38981582480024</v>
      </c>
      <c r="L30" s="84">
        <v>25599.1548101</v>
      </c>
      <c r="M30" s="77">
        <v>-0.224805355113891</v>
      </c>
      <c r="N30" s="77">
        <v>0.0541486668956158</v>
      </c>
      <c r="O30" s="76">
        <v>6074018</v>
      </c>
      <c r="P30" s="76">
        <v>6251849</v>
      </c>
      <c r="Q30" s="77">
        <v>-0.0284445449658173</v>
      </c>
      <c r="R30" s="77">
        <v>0.0137077782948333</v>
      </c>
      <c r="S30" s="86">
        <v>19844.3277224</v>
      </c>
      <c r="T30" s="86">
        <v>14278.3866526</v>
      </c>
      <c r="U30" s="77">
        <v>0.38981582480024</v>
      </c>
      <c r="V30" s="77">
        <v>0.0541486668956158</v>
      </c>
      <c r="W30" s="76">
        <v>238127</v>
      </c>
      <c r="X30" s="77">
        <v>0.00845461453690102</v>
      </c>
      <c r="Y30" s="76">
        <v>230332</v>
      </c>
      <c r="Z30" s="90">
        <v>0.0338424535019016</v>
      </c>
    </row>
    <row r="31" customFormat="1" spans="1:26">
      <c r="A31" s="23" t="s">
        <v>53</v>
      </c>
      <c r="B31" s="24" t="s">
        <v>54</v>
      </c>
      <c r="C31" s="13">
        <v>4929807</v>
      </c>
      <c r="D31" s="13">
        <v>8181496</v>
      </c>
      <c r="E31" s="14">
        <v>-0.3974</v>
      </c>
      <c r="F31" s="13">
        <v>8317743</v>
      </c>
      <c r="G31" s="40">
        <v>-0.4073</v>
      </c>
      <c r="H31" s="26">
        <v>0.0111255352539813</v>
      </c>
      <c r="I31" s="35">
        <v>5270.635</v>
      </c>
      <c r="J31" s="35">
        <v>6222.39</v>
      </c>
      <c r="K31" s="40">
        <v>-0.153</v>
      </c>
      <c r="L31" s="35">
        <v>8290.32</v>
      </c>
      <c r="M31" s="14">
        <v>-0.3642</v>
      </c>
      <c r="N31" s="26">
        <v>0.0143818356023833</v>
      </c>
      <c r="O31" s="13">
        <v>4929807</v>
      </c>
      <c r="P31" s="13">
        <v>8181496</v>
      </c>
      <c r="Q31" s="40">
        <v>-0.3974</v>
      </c>
      <c r="R31" s="40">
        <v>0.0111255352539813</v>
      </c>
      <c r="S31" s="35">
        <v>5270.635</v>
      </c>
      <c r="T31" s="35">
        <v>6222.39</v>
      </c>
      <c r="U31" s="14">
        <v>-0.153</v>
      </c>
      <c r="V31" s="26">
        <v>0.0143818356023833</v>
      </c>
      <c r="W31" s="39">
        <v>505518</v>
      </c>
      <c r="X31" s="26">
        <v>0.0179482369973381</v>
      </c>
      <c r="Y31" s="13">
        <v>573599</v>
      </c>
      <c r="Z31" s="43">
        <v>-0.1187</v>
      </c>
    </row>
    <row r="32" customFormat="1" spans="1:26">
      <c r="A32" s="23"/>
      <c r="B32" s="24" t="s">
        <v>55</v>
      </c>
      <c r="C32" s="13">
        <v>596012</v>
      </c>
      <c r="D32" s="13">
        <v>529290</v>
      </c>
      <c r="E32" s="14">
        <v>0.1261</v>
      </c>
      <c r="F32" s="13">
        <v>682794</v>
      </c>
      <c r="G32" s="40">
        <v>-0.1271</v>
      </c>
      <c r="H32" s="26">
        <v>0.00134507345171848</v>
      </c>
      <c r="I32" s="35">
        <v>8.835</v>
      </c>
      <c r="J32" s="35">
        <v>8.785</v>
      </c>
      <c r="K32" s="40">
        <v>0.0053</v>
      </c>
      <c r="L32" s="35">
        <v>12.635</v>
      </c>
      <c r="M32" s="14">
        <v>-0.3009</v>
      </c>
      <c r="N32" s="26">
        <v>2.41078195600827e-5</v>
      </c>
      <c r="O32" s="13">
        <v>596012</v>
      </c>
      <c r="P32" s="13">
        <v>529290</v>
      </c>
      <c r="Q32" s="40">
        <v>0.1261</v>
      </c>
      <c r="R32" s="40">
        <v>0.00134507345171848</v>
      </c>
      <c r="S32" s="35">
        <v>8.835</v>
      </c>
      <c r="T32" s="35">
        <v>8.785</v>
      </c>
      <c r="U32" s="14">
        <v>0.0057</v>
      </c>
      <c r="V32" s="26">
        <v>2.41078195600827e-5</v>
      </c>
      <c r="W32" s="39">
        <v>175412</v>
      </c>
      <c r="X32" s="26">
        <v>0.00622794074232188</v>
      </c>
      <c r="Y32" s="13">
        <v>131272</v>
      </c>
      <c r="Z32" s="43">
        <v>0.3362</v>
      </c>
    </row>
    <row r="33" customFormat="1" spans="1:26">
      <c r="A33" s="23"/>
      <c r="B33" s="24" t="s">
        <v>56</v>
      </c>
      <c r="C33" s="13">
        <v>42167</v>
      </c>
      <c r="D33" s="13">
        <v>303499</v>
      </c>
      <c r="E33" s="14">
        <v>-0.8611</v>
      </c>
      <c r="F33" s="13">
        <v>87902</v>
      </c>
      <c r="G33" s="40">
        <v>-0.5203</v>
      </c>
      <c r="H33" s="26">
        <v>9.51620306950414e-5</v>
      </c>
      <c r="I33" s="35">
        <v>60.54</v>
      </c>
      <c r="J33" s="35">
        <v>334.42</v>
      </c>
      <c r="K33" s="40">
        <v>-0.819</v>
      </c>
      <c r="L33" s="35">
        <v>118.225</v>
      </c>
      <c r="M33" s="14">
        <v>-0.4879</v>
      </c>
      <c r="N33" s="26">
        <v>0.000165193819600159</v>
      </c>
      <c r="O33" s="13">
        <v>42167</v>
      </c>
      <c r="P33" s="13">
        <v>303499</v>
      </c>
      <c r="Q33" s="40">
        <v>-0.8611</v>
      </c>
      <c r="R33" s="40">
        <v>9.51620306950414e-5</v>
      </c>
      <c r="S33" s="35">
        <v>60.54</v>
      </c>
      <c r="T33" s="35">
        <v>334.42</v>
      </c>
      <c r="U33" s="14">
        <v>-0.819</v>
      </c>
      <c r="V33" s="26">
        <v>0.000165193819600159</v>
      </c>
      <c r="W33" s="39">
        <v>4080</v>
      </c>
      <c r="X33" s="26">
        <v>0.000144858950520337</v>
      </c>
      <c r="Y33" s="13">
        <v>2928</v>
      </c>
      <c r="Z33" s="43">
        <v>0.3934</v>
      </c>
    </row>
    <row r="34" customFormat="1" spans="1:26">
      <c r="A34" s="23"/>
      <c r="B34" s="24" t="s">
        <v>57</v>
      </c>
      <c r="C34" s="13">
        <v>112</v>
      </c>
      <c r="D34" s="13">
        <v>2</v>
      </c>
      <c r="E34" s="14">
        <v>55</v>
      </c>
      <c r="F34" s="13">
        <v>3</v>
      </c>
      <c r="G34" s="40">
        <v>36.3333</v>
      </c>
      <c r="H34" s="26">
        <v>2.52760391724444e-7</v>
      </c>
      <c r="I34" s="35">
        <v>0.065</v>
      </c>
      <c r="J34" s="35">
        <v>0</v>
      </c>
      <c r="K34" s="40">
        <v>57.3131</v>
      </c>
      <c r="L34" s="35">
        <v>0</v>
      </c>
      <c r="M34" s="14">
        <v>37.0043</v>
      </c>
      <c r="N34" s="26">
        <v>1.77363697951938e-7</v>
      </c>
      <c r="O34" s="13">
        <v>112</v>
      </c>
      <c r="P34" s="13">
        <v>2</v>
      </c>
      <c r="Q34" s="40">
        <v>55</v>
      </c>
      <c r="R34" s="40">
        <v>2.52760391724444e-7</v>
      </c>
      <c r="S34" s="35">
        <v>0.065</v>
      </c>
      <c r="T34" s="35">
        <v>0</v>
      </c>
      <c r="U34" s="14">
        <v>0</v>
      </c>
      <c r="V34" s="26">
        <v>1.77363697951938e-7</v>
      </c>
      <c r="W34" s="39">
        <v>3</v>
      </c>
      <c r="X34" s="26">
        <v>1.0651393420613e-7</v>
      </c>
      <c r="Y34" s="13">
        <v>1</v>
      </c>
      <c r="Z34" s="43">
        <v>2</v>
      </c>
    </row>
    <row r="35" customFormat="1" spans="1:26">
      <c r="A35" s="23"/>
      <c r="B35" s="24" t="s">
        <v>58</v>
      </c>
      <c r="C35" s="13">
        <v>24323060</v>
      </c>
      <c r="D35" s="13">
        <v>29993753</v>
      </c>
      <c r="E35" s="14">
        <v>-0.1891</v>
      </c>
      <c r="F35" s="13">
        <v>36480704</v>
      </c>
      <c r="G35" s="40">
        <v>-0.3333</v>
      </c>
      <c r="H35" s="26">
        <v>0.0548920194065818</v>
      </c>
      <c r="I35" s="35">
        <v>6570.19</v>
      </c>
      <c r="J35" s="35">
        <v>6988.345</v>
      </c>
      <c r="K35" s="40">
        <v>-0.0598</v>
      </c>
      <c r="L35" s="35">
        <v>9466.4</v>
      </c>
      <c r="M35" s="14">
        <v>-0.3059</v>
      </c>
      <c r="N35" s="26">
        <v>0.0179278953022591</v>
      </c>
      <c r="O35" s="13">
        <v>24323060</v>
      </c>
      <c r="P35" s="13">
        <v>29993753</v>
      </c>
      <c r="Q35" s="40">
        <v>-0.1891</v>
      </c>
      <c r="R35" s="40">
        <v>0.0548920194065818</v>
      </c>
      <c r="S35" s="35">
        <v>6570.19</v>
      </c>
      <c r="T35" s="35">
        <v>6988.345</v>
      </c>
      <c r="U35" s="14">
        <v>-0.0598</v>
      </c>
      <c r="V35" s="26">
        <v>0.0179278953022591</v>
      </c>
      <c r="W35" s="39">
        <v>1420327</v>
      </c>
      <c r="X35" s="26">
        <v>0.0504282055430632</v>
      </c>
      <c r="Y35" s="13">
        <v>1349179</v>
      </c>
      <c r="Z35" s="43">
        <v>0.0527</v>
      </c>
    </row>
    <row r="36" customFormat="1" spans="1:26">
      <c r="A36" s="23"/>
      <c r="B36" s="24" t="s">
        <v>59</v>
      </c>
      <c r="C36" s="13">
        <v>2451724</v>
      </c>
      <c r="D36" s="13">
        <v>1076462</v>
      </c>
      <c r="E36" s="14">
        <v>1.2776</v>
      </c>
      <c r="F36" s="13">
        <v>2391670</v>
      </c>
      <c r="G36" s="40">
        <v>0.0251</v>
      </c>
      <c r="H36" s="26">
        <v>0.0055330242735734</v>
      </c>
      <c r="I36" s="35">
        <v>10.605</v>
      </c>
      <c r="J36" s="35">
        <v>4.94</v>
      </c>
      <c r="K36" s="40">
        <v>1.1459</v>
      </c>
      <c r="L36" s="35">
        <v>9.37</v>
      </c>
      <c r="M36" s="14">
        <v>0.1318</v>
      </c>
      <c r="N36" s="26">
        <v>2.89375694889277e-5</v>
      </c>
      <c r="O36" s="13">
        <v>2451724</v>
      </c>
      <c r="P36" s="13">
        <v>1076462</v>
      </c>
      <c r="Q36" s="40">
        <v>1.2776</v>
      </c>
      <c r="R36" s="40">
        <v>0.0055330242735734</v>
      </c>
      <c r="S36" s="35">
        <v>10.605</v>
      </c>
      <c r="T36" s="35">
        <v>4.94</v>
      </c>
      <c r="U36" s="14">
        <v>1.1468</v>
      </c>
      <c r="V36" s="26">
        <v>2.89375694889277e-5</v>
      </c>
      <c r="W36" s="39">
        <v>113946</v>
      </c>
      <c r="X36" s="26">
        <v>0.00404561224901722</v>
      </c>
      <c r="Y36" s="13">
        <v>200405</v>
      </c>
      <c r="Z36" s="43">
        <v>-0.4314</v>
      </c>
    </row>
    <row r="37" customFormat="1" spans="1:26">
      <c r="A37" s="23"/>
      <c r="B37" s="24" t="s">
        <v>60</v>
      </c>
      <c r="C37" s="13">
        <v>7696318</v>
      </c>
      <c r="D37" s="13">
        <v>7420467</v>
      </c>
      <c r="E37" s="14">
        <v>0.0372</v>
      </c>
      <c r="F37" s="13">
        <v>10459667</v>
      </c>
      <c r="G37" s="40">
        <v>-0.2642</v>
      </c>
      <c r="H37" s="26">
        <v>0.0173689674331776</v>
      </c>
      <c r="I37" s="35">
        <v>9242.015</v>
      </c>
      <c r="J37" s="35">
        <v>7382.39</v>
      </c>
      <c r="K37" s="40">
        <v>0.2519</v>
      </c>
      <c r="L37" s="35">
        <v>12817.745</v>
      </c>
      <c r="M37" s="14">
        <v>-0.279</v>
      </c>
      <c r="N37" s="26">
        <v>0.0252184301065735</v>
      </c>
      <c r="O37" s="13">
        <v>7696318</v>
      </c>
      <c r="P37" s="13">
        <v>7420467</v>
      </c>
      <c r="Q37" s="40">
        <v>0.0372</v>
      </c>
      <c r="R37" s="40">
        <v>0.0173689674331776</v>
      </c>
      <c r="S37" s="35">
        <v>9242.015</v>
      </c>
      <c r="T37" s="35">
        <v>7382.39</v>
      </c>
      <c r="U37" s="14">
        <v>0.2519</v>
      </c>
      <c r="V37" s="26">
        <v>0.0252184301065735</v>
      </c>
      <c r="W37" s="39">
        <v>221012</v>
      </c>
      <c r="X37" s="26">
        <v>0.00784695254225505</v>
      </c>
      <c r="Y37" s="13">
        <v>258119</v>
      </c>
      <c r="Z37" s="43">
        <v>-0.1438</v>
      </c>
    </row>
    <row r="38" customFormat="1" spans="1:26">
      <c r="A38" s="23"/>
      <c r="B38" s="24" t="s">
        <v>61</v>
      </c>
      <c r="C38" s="13">
        <v>37</v>
      </c>
      <c r="D38" s="13">
        <v>1608</v>
      </c>
      <c r="E38" s="14">
        <v>-0.977</v>
      </c>
      <c r="F38" s="13">
        <v>569</v>
      </c>
      <c r="G38" s="40">
        <v>-0.935</v>
      </c>
      <c r="H38" s="26">
        <v>8.35012008375396e-8</v>
      </c>
      <c r="I38" s="35">
        <v>0.02</v>
      </c>
      <c r="J38" s="35">
        <v>0.98</v>
      </c>
      <c r="K38" s="40">
        <v>-0.9776</v>
      </c>
      <c r="L38" s="35">
        <v>0.34</v>
      </c>
      <c r="M38" s="14">
        <v>-0.9351</v>
      </c>
      <c r="N38" s="26">
        <v>5.45734455236732e-8</v>
      </c>
      <c r="O38" s="13">
        <v>37</v>
      </c>
      <c r="P38" s="13">
        <v>1608</v>
      </c>
      <c r="Q38" s="40">
        <v>-0.977</v>
      </c>
      <c r="R38" s="40">
        <v>8.35012008375396e-8</v>
      </c>
      <c r="S38" s="35">
        <v>0.02</v>
      </c>
      <c r="T38" s="35">
        <v>0.98</v>
      </c>
      <c r="U38" s="14">
        <v>-0.9796</v>
      </c>
      <c r="V38" s="26">
        <v>5.45734455236732e-8</v>
      </c>
      <c r="W38" s="39">
        <v>10</v>
      </c>
      <c r="X38" s="26">
        <v>3.55046447353766e-7</v>
      </c>
      <c r="Y38" s="13">
        <v>12</v>
      </c>
      <c r="Z38" s="43">
        <v>-0.1667</v>
      </c>
    </row>
    <row r="39" customFormat="1" spans="1:26">
      <c r="A39" s="23"/>
      <c r="B39" s="24" t="s">
        <v>62</v>
      </c>
      <c r="C39" s="13">
        <v>12801677</v>
      </c>
      <c r="D39" s="13">
        <v>21364256</v>
      </c>
      <c r="E39" s="14">
        <v>-0.4008</v>
      </c>
      <c r="F39" s="13">
        <v>22281286</v>
      </c>
      <c r="G39" s="40">
        <v>-0.4255</v>
      </c>
      <c r="H39" s="26">
        <v>0.0288906865468733</v>
      </c>
      <c r="I39" s="35">
        <v>3787.53</v>
      </c>
      <c r="J39" s="35">
        <v>6297.915</v>
      </c>
      <c r="K39" s="40">
        <v>-0.3986</v>
      </c>
      <c r="L39" s="35">
        <v>6307.69</v>
      </c>
      <c r="M39" s="14">
        <v>-0.3995</v>
      </c>
      <c r="N39" s="26">
        <v>0.0103349281062139</v>
      </c>
      <c r="O39" s="13">
        <v>12801677</v>
      </c>
      <c r="P39" s="13">
        <v>21364256</v>
      </c>
      <c r="Q39" s="40">
        <v>-0.4008</v>
      </c>
      <c r="R39" s="40">
        <v>0.0288906865468733</v>
      </c>
      <c r="S39" s="35">
        <v>3787.53</v>
      </c>
      <c r="T39" s="35">
        <v>6297.915</v>
      </c>
      <c r="U39" s="14">
        <v>-0.3986</v>
      </c>
      <c r="V39" s="26">
        <v>0.0103349281062139</v>
      </c>
      <c r="W39" s="39">
        <v>732739</v>
      </c>
      <c r="X39" s="26">
        <v>0.0260156378787551</v>
      </c>
      <c r="Y39" s="13">
        <v>596926</v>
      </c>
      <c r="Z39" s="43">
        <v>0.2275</v>
      </c>
    </row>
    <row r="40" customFormat="1" spans="1:26">
      <c r="A40" s="23"/>
      <c r="B40" s="24" t="s">
        <v>63</v>
      </c>
      <c r="C40" s="13">
        <v>519953</v>
      </c>
      <c r="D40" s="13">
        <v>576654</v>
      </c>
      <c r="E40" s="14">
        <v>-0.0983</v>
      </c>
      <c r="F40" s="13">
        <v>403778</v>
      </c>
      <c r="G40" s="40">
        <v>0.2877</v>
      </c>
      <c r="H40" s="26">
        <v>0.00117342432105625</v>
      </c>
      <c r="I40" s="35">
        <v>2.79</v>
      </c>
      <c r="J40" s="35">
        <v>3.24</v>
      </c>
      <c r="K40" s="40">
        <v>-0.1398</v>
      </c>
      <c r="L40" s="35">
        <v>2.235</v>
      </c>
      <c r="M40" s="14">
        <v>0.2468</v>
      </c>
      <c r="N40" s="26">
        <v>7.61299565055242e-6</v>
      </c>
      <c r="O40" s="13">
        <v>519953</v>
      </c>
      <c r="P40" s="13">
        <v>576654</v>
      </c>
      <c r="Q40" s="40">
        <v>-0.0983</v>
      </c>
      <c r="R40" s="40">
        <v>0.00117342432105625</v>
      </c>
      <c r="S40" s="35">
        <v>2.79</v>
      </c>
      <c r="T40" s="35">
        <v>3.24</v>
      </c>
      <c r="U40" s="14">
        <v>-0.1389</v>
      </c>
      <c r="V40" s="26">
        <v>7.61299565055242e-6</v>
      </c>
      <c r="W40" s="39">
        <v>75953</v>
      </c>
      <c r="X40" s="26">
        <v>0.00269668428158606</v>
      </c>
      <c r="Y40" s="13">
        <v>51073</v>
      </c>
      <c r="Z40" s="43">
        <v>0.4871</v>
      </c>
    </row>
    <row r="41" customFormat="1" spans="1:26">
      <c r="A41" s="23"/>
      <c r="B41" s="24" t="s">
        <v>64</v>
      </c>
      <c r="C41" s="13">
        <v>7770853</v>
      </c>
      <c r="D41" s="13">
        <v>11237285</v>
      </c>
      <c r="E41" s="14">
        <v>-0.3085</v>
      </c>
      <c r="F41" s="13">
        <v>10321633</v>
      </c>
      <c r="G41" s="40">
        <v>-0.2471</v>
      </c>
      <c r="H41" s="26">
        <v>0.017537177217081</v>
      </c>
      <c r="I41" s="35">
        <v>4484.69</v>
      </c>
      <c r="J41" s="35">
        <v>5966.65</v>
      </c>
      <c r="K41" s="40">
        <v>-0.2484</v>
      </c>
      <c r="L41" s="35">
        <v>5984.135</v>
      </c>
      <c r="M41" s="14">
        <v>-0.2506</v>
      </c>
      <c r="N41" s="26">
        <v>0.0122372492702781</v>
      </c>
      <c r="O41" s="13">
        <v>7770853</v>
      </c>
      <c r="P41" s="13">
        <v>11237285</v>
      </c>
      <c r="Q41" s="40">
        <v>-0.3085</v>
      </c>
      <c r="R41" s="40">
        <v>0.017537177217081</v>
      </c>
      <c r="S41" s="35">
        <v>4484.69</v>
      </c>
      <c r="T41" s="35">
        <v>5966.65</v>
      </c>
      <c r="U41" s="14">
        <v>-0.2484</v>
      </c>
      <c r="V41" s="26">
        <v>0.0122372492702781</v>
      </c>
      <c r="W41" s="39">
        <v>543859</v>
      </c>
      <c r="X41" s="26">
        <v>0.0193095205811372</v>
      </c>
      <c r="Y41" s="13">
        <v>538771</v>
      </c>
      <c r="Z41" s="43">
        <v>0.0094</v>
      </c>
    </row>
    <row r="42" customFormat="1" spans="1:26">
      <c r="A42" s="23"/>
      <c r="B42" s="24" t="s">
        <v>65</v>
      </c>
      <c r="C42" s="13">
        <v>1206069</v>
      </c>
      <c r="D42" s="13">
        <v>734544</v>
      </c>
      <c r="E42" s="14">
        <v>0.6419</v>
      </c>
      <c r="F42" s="13">
        <v>977776</v>
      </c>
      <c r="G42" s="40">
        <v>0.2335</v>
      </c>
      <c r="H42" s="26">
        <v>0.00272184350791704</v>
      </c>
      <c r="I42" s="35">
        <v>6.48</v>
      </c>
      <c r="J42" s="35">
        <v>6.135</v>
      </c>
      <c r="K42" s="40">
        <v>0.0563</v>
      </c>
      <c r="L42" s="35">
        <v>6.15</v>
      </c>
      <c r="M42" s="14">
        <v>0.0535</v>
      </c>
      <c r="N42" s="26">
        <v>1.76817963496701e-5</v>
      </c>
      <c r="O42" s="13">
        <v>1206069</v>
      </c>
      <c r="P42" s="13">
        <v>734544</v>
      </c>
      <c r="Q42" s="40">
        <v>0.6419</v>
      </c>
      <c r="R42" s="40">
        <v>0.00272184350791704</v>
      </c>
      <c r="S42" s="35">
        <v>6.48</v>
      </c>
      <c r="T42" s="35">
        <v>6.14</v>
      </c>
      <c r="U42" s="14">
        <v>0.0554</v>
      </c>
      <c r="V42" s="26">
        <v>1.76817963496701e-5</v>
      </c>
      <c r="W42" s="39">
        <v>192172</v>
      </c>
      <c r="X42" s="26">
        <v>0.00682299858808679</v>
      </c>
      <c r="Y42" s="13">
        <v>141933</v>
      </c>
      <c r="Z42" s="43">
        <v>0.354</v>
      </c>
    </row>
    <row r="43" customFormat="1" spans="1:26">
      <c r="A43" s="23"/>
      <c r="B43" s="24" t="s">
        <v>66</v>
      </c>
      <c r="C43" s="13">
        <v>33180355</v>
      </c>
      <c r="D43" s="13">
        <v>42647275</v>
      </c>
      <c r="E43" s="14">
        <v>-0.222</v>
      </c>
      <c r="F43" s="13">
        <v>39727201</v>
      </c>
      <c r="G43" s="40">
        <v>-0.1648</v>
      </c>
      <c r="H43" s="26">
        <v>0.0748810672085368</v>
      </c>
      <c r="I43" s="35">
        <v>8757.315</v>
      </c>
      <c r="J43" s="35">
        <v>8487.365</v>
      </c>
      <c r="K43" s="40">
        <v>0.0318</v>
      </c>
      <c r="L43" s="35">
        <v>9309.265</v>
      </c>
      <c r="M43" s="14">
        <v>-0.0593</v>
      </c>
      <c r="N43" s="26">
        <v>0.0238958426543073</v>
      </c>
      <c r="O43" s="13">
        <v>33180355</v>
      </c>
      <c r="P43" s="13">
        <v>42647275</v>
      </c>
      <c r="Q43" s="40">
        <v>-0.222</v>
      </c>
      <c r="R43" s="40">
        <v>0.0748810672085368</v>
      </c>
      <c r="S43" s="35">
        <v>8757.315</v>
      </c>
      <c r="T43" s="35">
        <v>8487.365</v>
      </c>
      <c r="U43" s="14">
        <v>0.0318</v>
      </c>
      <c r="V43" s="26">
        <v>0.0238958426543073</v>
      </c>
      <c r="W43" s="39">
        <v>1881873</v>
      </c>
      <c r="X43" s="26">
        <v>0.0668152323020974</v>
      </c>
      <c r="Y43" s="13">
        <v>1953815</v>
      </c>
      <c r="Z43" s="43">
        <v>-0.0368</v>
      </c>
    </row>
    <row r="44" customFormat="1" spans="1:26">
      <c r="A44" s="23"/>
      <c r="B44" s="27" t="s">
        <v>67</v>
      </c>
      <c r="C44" s="13">
        <v>2924589</v>
      </c>
      <c r="D44" s="13">
        <v>1590601</v>
      </c>
      <c r="E44" s="14">
        <v>0.8387</v>
      </c>
      <c r="F44" s="13">
        <v>2106652</v>
      </c>
      <c r="G44" s="40">
        <v>0.3883</v>
      </c>
      <c r="H44" s="26">
        <v>0.00660018090422322</v>
      </c>
      <c r="I44" s="35">
        <v>11.21</v>
      </c>
      <c r="J44" s="35">
        <v>7.53</v>
      </c>
      <c r="K44" s="40">
        <v>0.4884</v>
      </c>
      <c r="L44" s="35">
        <v>7.24</v>
      </c>
      <c r="M44" s="14">
        <v>0.5482</v>
      </c>
      <c r="N44" s="26">
        <v>3.05884162160189e-5</v>
      </c>
      <c r="O44" s="13">
        <v>2924589</v>
      </c>
      <c r="P44" s="13">
        <v>1590601</v>
      </c>
      <c r="Q44" s="40">
        <v>0.8387</v>
      </c>
      <c r="R44" s="40">
        <v>0.00660018090422322</v>
      </c>
      <c r="S44" s="35">
        <v>11.21</v>
      </c>
      <c r="T44" s="35">
        <v>7.53</v>
      </c>
      <c r="U44" s="14">
        <v>0.4887</v>
      </c>
      <c r="V44" s="26">
        <v>3.05884162160189e-5</v>
      </c>
      <c r="W44" s="39">
        <v>241083</v>
      </c>
      <c r="X44" s="26">
        <v>0.0085595662667388</v>
      </c>
      <c r="Y44" s="13">
        <v>252967</v>
      </c>
      <c r="Z44" s="43">
        <v>-0.047</v>
      </c>
    </row>
    <row r="45" customFormat="1" spans="1:26">
      <c r="A45" s="23"/>
      <c r="B45" s="28" t="s">
        <v>68</v>
      </c>
      <c r="C45" s="13">
        <v>0</v>
      </c>
      <c r="D45" s="13">
        <v>141</v>
      </c>
      <c r="E45" s="14">
        <v>-1</v>
      </c>
      <c r="F45" s="13">
        <v>1</v>
      </c>
      <c r="G45" s="40">
        <v>-1</v>
      </c>
      <c r="H45" s="26">
        <v>0</v>
      </c>
      <c r="I45" s="35">
        <v>0</v>
      </c>
      <c r="J45" s="35">
        <v>0.18</v>
      </c>
      <c r="K45" s="40">
        <v>-1</v>
      </c>
      <c r="L45" s="35">
        <v>0</v>
      </c>
      <c r="M45" s="14">
        <v>-1</v>
      </c>
      <c r="N45" s="26">
        <v>0</v>
      </c>
      <c r="O45" s="13">
        <v>0</v>
      </c>
      <c r="P45" s="13">
        <v>141</v>
      </c>
      <c r="Q45" s="40">
        <v>-1</v>
      </c>
      <c r="R45" s="40">
        <v>0</v>
      </c>
      <c r="S45" s="35">
        <v>0</v>
      </c>
      <c r="T45" s="35">
        <v>0.18</v>
      </c>
      <c r="U45" s="14">
        <v>-1</v>
      </c>
      <c r="V45" s="26">
        <v>0</v>
      </c>
      <c r="W45" s="39">
        <v>0</v>
      </c>
      <c r="X45" s="26">
        <v>0</v>
      </c>
      <c r="Y45" s="13">
        <v>0</v>
      </c>
      <c r="Z45" s="43">
        <v>0</v>
      </c>
    </row>
    <row r="46" customFormat="1" spans="1:26">
      <c r="A46" s="23"/>
      <c r="B46" s="24" t="s">
        <v>69</v>
      </c>
      <c r="C46" s="13">
        <v>80</v>
      </c>
      <c r="D46" s="13">
        <v>2898</v>
      </c>
      <c r="E46" s="14">
        <v>-0.9724</v>
      </c>
      <c r="F46" s="13">
        <v>318</v>
      </c>
      <c r="G46" s="40">
        <v>-0.7484</v>
      </c>
      <c r="H46" s="26">
        <v>1.80543136946032e-7</v>
      </c>
      <c r="I46" s="35">
        <v>0.045</v>
      </c>
      <c r="J46" s="35">
        <v>1.58</v>
      </c>
      <c r="K46" s="40">
        <v>-0.9702</v>
      </c>
      <c r="L46" s="35">
        <v>0.185</v>
      </c>
      <c r="M46" s="14">
        <v>-0.7478</v>
      </c>
      <c r="N46" s="26">
        <v>1.22790252428265e-7</v>
      </c>
      <c r="O46" s="13">
        <v>80</v>
      </c>
      <c r="P46" s="13">
        <v>2898</v>
      </c>
      <c r="Q46" s="40">
        <v>-0.9724</v>
      </c>
      <c r="R46" s="40">
        <v>1.80543136946032e-7</v>
      </c>
      <c r="S46" s="35">
        <v>0.045</v>
      </c>
      <c r="T46" s="35">
        <v>1.58</v>
      </c>
      <c r="U46" s="14">
        <v>-0.9715</v>
      </c>
      <c r="V46" s="26">
        <v>1.22790252428265e-7</v>
      </c>
      <c r="W46" s="39">
        <v>93</v>
      </c>
      <c r="X46" s="26">
        <v>3.30193196039002e-6</v>
      </c>
      <c r="Y46" s="13">
        <v>97</v>
      </c>
      <c r="Z46" s="43">
        <v>-0.0412</v>
      </c>
    </row>
    <row r="47" customFormat="1" spans="1:26">
      <c r="A47" s="23"/>
      <c r="B47" s="29" t="s">
        <v>70</v>
      </c>
      <c r="C47" s="13">
        <v>9006125</v>
      </c>
      <c r="D47" s="13">
        <v>21365396</v>
      </c>
      <c r="E47" s="14">
        <v>-0.5785</v>
      </c>
      <c r="F47" s="13">
        <v>11065976</v>
      </c>
      <c r="G47" s="40">
        <v>-0.1861</v>
      </c>
      <c r="H47" s="26">
        <v>0.020324925740351</v>
      </c>
      <c r="I47" s="35">
        <v>3656.155</v>
      </c>
      <c r="J47" s="35">
        <v>7564.77</v>
      </c>
      <c r="K47" s="40">
        <v>-0.5167</v>
      </c>
      <c r="L47" s="35">
        <v>4046.035</v>
      </c>
      <c r="M47" s="14">
        <v>-0.0964</v>
      </c>
      <c r="N47" s="26">
        <v>0.00997644878593028</v>
      </c>
      <c r="O47" s="13">
        <v>9006125</v>
      </c>
      <c r="P47" s="13">
        <v>21365396</v>
      </c>
      <c r="Q47" s="40">
        <v>-0.5785</v>
      </c>
      <c r="R47" s="40">
        <v>0.020324925740351</v>
      </c>
      <c r="S47" s="35">
        <v>3656.155</v>
      </c>
      <c r="T47" s="35">
        <v>7564.77</v>
      </c>
      <c r="U47" s="14">
        <v>-0.5167</v>
      </c>
      <c r="V47" s="26">
        <v>0.00997644878593028</v>
      </c>
      <c r="W47" s="39">
        <v>390317</v>
      </c>
      <c r="X47" s="26">
        <v>0.013858066419178</v>
      </c>
      <c r="Y47" s="13">
        <v>409483</v>
      </c>
      <c r="Z47" s="43">
        <v>-0.0468</v>
      </c>
    </row>
    <row r="48" customFormat="1" spans="1:26">
      <c r="A48" s="23"/>
      <c r="B48" s="30" t="s">
        <v>71</v>
      </c>
      <c r="C48" s="13">
        <v>246604</v>
      </c>
      <c r="D48" s="13">
        <v>14723072</v>
      </c>
      <c r="E48" s="14">
        <v>-0.9833</v>
      </c>
      <c r="F48" s="13">
        <v>300300</v>
      </c>
      <c r="G48" s="40">
        <v>-0.1788</v>
      </c>
      <c r="H48" s="26">
        <v>0.00055653324679299</v>
      </c>
      <c r="I48" s="35">
        <v>180.98</v>
      </c>
      <c r="J48" s="35">
        <v>10153.19</v>
      </c>
      <c r="K48" s="40">
        <v>-0.9822</v>
      </c>
      <c r="L48" s="35">
        <v>221.605</v>
      </c>
      <c r="M48" s="14">
        <v>-0.1833</v>
      </c>
      <c r="N48" s="26">
        <v>0.000493835108543719</v>
      </c>
      <c r="O48" s="13">
        <v>246604</v>
      </c>
      <c r="P48" s="13">
        <v>14723072</v>
      </c>
      <c r="Q48" s="40">
        <v>-0.9833</v>
      </c>
      <c r="R48" s="40">
        <v>0.00055653324679299</v>
      </c>
      <c r="S48" s="35">
        <v>180.98</v>
      </c>
      <c r="T48" s="35">
        <v>10153.19</v>
      </c>
      <c r="U48" s="14">
        <v>-0.9822</v>
      </c>
      <c r="V48" s="26">
        <v>0.000493835108543719</v>
      </c>
      <c r="W48" s="39">
        <v>28435</v>
      </c>
      <c r="X48" s="26">
        <v>0.00100957457305043</v>
      </c>
      <c r="Y48" s="13">
        <v>33534</v>
      </c>
      <c r="Z48" s="43">
        <v>-0.1521</v>
      </c>
    </row>
    <row r="49" customFormat="1" spans="1:26">
      <c r="A49" s="23"/>
      <c r="B49" s="30" t="s">
        <v>72</v>
      </c>
      <c r="C49" s="13">
        <v>39000</v>
      </c>
      <c r="D49" s="13">
        <v>698027</v>
      </c>
      <c r="E49" s="14">
        <v>-0.9441</v>
      </c>
      <c r="F49" s="13">
        <v>48556</v>
      </c>
      <c r="G49" s="40">
        <v>-0.1968</v>
      </c>
      <c r="H49" s="26">
        <v>8.80147792611904e-5</v>
      </c>
      <c r="I49" s="35">
        <v>1.44</v>
      </c>
      <c r="J49" s="35">
        <v>11.09</v>
      </c>
      <c r="K49" s="40">
        <v>-0.8702</v>
      </c>
      <c r="L49" s="35">
        <v>1.36</v>
      </c>
      <c r="M49" s="14">
        <v>0.0599</v>
      </c>
      <c r="N49" s="26">
        <v>3.92928807770447e-6</v>
      </c>
      <c r="O49" s="13">
        <v>39000</v>
      </c>
      <c r="P49" s="13">
        <v>698027</v>
      </c>
      <c r="Q49" s="40">
        <v>-0.9441</v>
      </c>
      <c r="R49" s="40">
        <v>8.80147792611904e-5</v>
      </c>
      <c r="S49" s="35">
        <v>1.44</v>
      </c>
      <c r="T49" s="35">
        <v>11.09</v>
      </c>
      <c r="U49" s="14">
        <v>-0.8702</v>
      </c>
      <c r="V49" s="26">
        <v>3.92928807770447e-6</v>
      </c>
      <c r="W49" s="39">
        <v>13741</v>
      </c>
      <c r="X49" s="26">
        <v>0.00048786932330881</v>
      </c>
      <c r="Y49" s="13">
        <v>11766</v>
      </c>
      <c r="Z49" s="43">
        <v>0.1679</v>
      </c>
    </row>
    <row r="50" customFormat="1" spans="1:26">
      <c r="A50" s="23"/>
      <c r="B50" s="30" t="s">
        <v>73</v>
      </c>
      <c r="C50" s="13">
        <v>5</v>
      </c>
      <c r="D50" s="13">
        <v>900</v>
      </c>
      <c r="E50" s="14">
        <v>-0.9944</v>
      </c>
      <c r="F50" s="13">
        <v>80</v>
      </c>
      <c r="G50" s="40">
        <v>-0.9375</v>
      </c>
      <c r="H50" s="26">
        <v>1.1283946059127e-8</v>
      </c>
      <c r="I50" s="35">
        <v>0.005</v>
      </c>
      <c r="J50" s="35">
        <v>0.53</v>
      </c>
      <c r="K50" s="40">
        <v>-0.9948</v>
      </c>
      <c r="L50" s="35">
        <v>0.045</v>
      </c>
      <c r="M50" s="14">
        <v>-0.9371</v>
      </c>
      <c r="N50" s="26">
        <v>1.36433613809183e-8</v>
      </c>
      <c r="O50" s="13">
        <v>5</v>
      </c>
      <c r="P50" s="13">
        <v>900</v>
      </c>
      <c r="Q50" s="40">
        <v>-0.9944</v>
      </c>
      <c r="R50" s="40">
        <v>1.1283946059127e-8</v>
      </c>
      <c r="S50" s="35">
        <v>0.005</v>
      </c>
      <c r="T50" s="35">
        <v>0.53</v>
      </c>
      <c r="U50" s="14">
        <v>-0.9906</v>
      </c>
      <c r="V50" s="26">
        <v>1.36433613809183e-8</v>
      </c>
      <c r="W50" s="39">
        <v>0</v>
      </c>
      <c r="X50" s="26">
        <v>0</v>
      </c>
      <c r="Y50" s="13">
        <v>5</v>
      </c>
      <c r="Z50" s="43">
        <v>-1</v>
      </c>
    </row>
    <row r="51" customFormat="1" spans="1:26">
      <c r="A51" s="23"/>
      <c r="B51" s="30" t="s">
        <v>74</v>
      </c>
      <c r="C51" s="13">
        <v>0</v>
      </c>
      <c r="D51" s="13">
        <v>0</v>
      </c>
      <c r="E51" s="14">
        <v>0</v>
      </c>
      <c r="F51" s="13">
        <v>0</v>
      </c>
      <c r="G51" s="40">
        <v>0</v>
      </c>
      <c r="H51" s="26">
        <v>0</v>
      </c>
      <c r="I51" s="35">
        <v>0</v>
      </c>
      <c r="J51" s="35">
        <v>0</v>
      </c>
      <c r="K51" s="40">
        <v>0</v>
      </c>
      <c r="L51" s="35">
        <v>0</v>
      </c>
      <c r="M51" s="14">
        <v>0</v>
      </c>
      <c r="N51" s="26">
        <v>0</v>
      </c>
      <c r="O51" s="13">
        <v>0</v>
      </c>
      <c r="P51" s="13">
        <v>0</v>
      </c>
      <c r="Q51" s="40">
        <v>0</v>
      </c>
      <c r="R51" s="40">
        <v>0</v>
      </c>
      <c r="S51" s="35">
        <v>0</v>
      </c>
      <c r="T51" s="35">
        <v>0</v>
      </c>
      <c r="U51" s="14">
        <v>0</v>
      </c>
      <c r="V51" s="26">
        <v>0</v>
      </c>
      <c r="W51" s="39">
        <v>0</v>
      </c>
      <c r="X51" s="26">
        <v>0</v>
      </c>
      <c r="Y51" s="13">
        <v>0</v>
      </c>
      <c r="Z51" s="43">
        <v>0</v>
      </c>
    </row>
    <row r="52" customFormat="1" spans="1:26">
      <c r="A52" s="23"/>
      <c r="B52" s="30" t="s">
        <v>75</v>
      </c>
      <c r="C52" s="13">
        <v>5291380</v>
      </c>
      <c r="D52" s="13">
        <v>8968515</v>
      </c>
      <c r="E52" s="14">
        <v>-0.41</v>
      </c>
      <c r="F52" s="13">
        <v>4938752</v>
      </c>
      <c r="G52" s="40">
        <v>0.0714</v>
      </c>
      <c r="H52" s="26">
        <v>0.0119415292996687</v>
      </c>
      <c r="I52" s="35">
        <v>2348.485</v>
      </c>
      <c r="J52" s="35">
        <v>3317.885</v>
      </c>
      <c r="K52" s="40">
        <v>-0.2922</v>
      </c>
      <c r="L52" s="35">
        <v>2105.005</v>
      </c>
      <c r="M52" s="14">
        <v>0.1157</v>
      </c>
      <c r="N52" s="26">
        <v>0.00640824591053319</v>
      </c>
      <c r="O52" s="13">
        <v>5291380</v>
      </c>
      <c r="P52" s="13">
        <v>8968515</v>
      </c>
      <c r="Q52" s="40">
        <v>-0.41</v>
      </c>
      <c r="R52" s="40">
        <v>0.0119415292996687</v>
      </c>
      <c r="S52" s="35">
        <v>2348.485</v>
      </c>
      <c r="T52" s="35">
        <v>3317.885</v>
      </c>
      <c r="U52" s="14">
        <v>-0.2922</v>
      </c>
      <c r="V52" s="26">
        <v>0.00640824591053319</v>
      </c>
      <c r="W52" s="39">
        <v>166494</v>
      </c>
      <c r="X52" s="26">
        <v>0.00591131032057179</v>
      </c>
      <c r="Y52" s="13">
        <v>128426</v>
      </c>
      <c r="Z52" s="43">
        <v>0.2964</v>
      </c>
    </row>
    <row r="53" customFormat="1" spans="1:26">
      <c r="A53" s="23"/>
      <c r="B53" s="30" t="s">
        <v>76</v>
      </c>
      <c r="C53" s="13">
        <v>2519229</v>
      </c>
      <c r="D53" s="13">
        <v>8216845</v>
      </c>
      <c r="E53" s="14">
        <v>-0.6934</v>
      </c>
      <c r="F53" s="13">
        <v>2829007</v>
      </c>
      <c r="G53" s="40">
        <v>-0.1095</v>
      </c>
      <c r="H53" s="26">
        <v>0.00568536882931768</v>
      </c>
      <c r="I53" s="35">
        <v>1043.03</v>
      </c>
      <c r="J53" s="35">
        <v>3006.545</v>
      </c>
      <c r="K53" s="40">
        <v>-0.6531</v>
      </c>
      <c r="L53" s="35">
        <v>1161.115</v>
      </c>
      <c r="M53" s="14">
        <v>-0.1017</v>
      </c>
      <c r="N53" s="26">
        <v>0.00284608704422785</v>
      </c>
      <c r="O53" s="13">
        <v>2519229</v>
      </c>
      <c r="P53" s="13">
        <v>8216845</v>
      </c>
      <c r="Q53" s="40">
        <v>-0.6934</v>
      </c>
      <c r="R53" s="40">
        <v>0.00568536882931768</v>
      </c>
      <c r="S53" s="35">
        <v>1043.03</v>
      </c>
      <c r="T53" s="35">
        <v>3006.545</v>
      </c>
      <c r="U53" s="14">
        <v>-0.6531</v>
      </c>
      <c r="V53" s="26">
        <v>0.00284608704422785</v>
      </c>
      <c r="W53" s="39">
        <v>229792</v>
      </c>
      <c r="X53" s="26">
        <v>0.00815868332303166</v>
      </c>
      <c r="Y53" s="13">
        <v>161937</v>
      </c>
      <c r="Z53" s="43">
        <v>0.419</v>
      </c>
    </row>
    <row r="54" customFormat="1" spans="1:26">
      <c r="A54" s="23"/>
      <c r="B54" s="30" t="s">
        <v>77</v>
      </c>
      <c r="C54" s="13">
        <v>3943183</v>
      </c>
      <c r="D54" s="13">
        <v>8337969</v>
      </c>
      <c r="E54" s="14">
        <v>-0.5271</v>
      </c>
      <c r="F54" s="13">
        <v>6004987</v>
      </c>
      <c r="G54" s="40">
        <v>-0.3433</v>
      </c>
      <c r="H54" s="26">
        <v>0.0088989328546533</v>
      </c>
      <c r="I54" s="35">
        <v>3349.025</v>
      </c>
      <c r="J54" s="35">
        <v>5173.015</v>
      </c>
      <c r="K54" s="40">
        <v>-0.3526</v>
      </c>
      <c r="L54" s="35">
        <v>4954.3</v>
      </c>
      <c r="M54" s="14">
        <v>-0.324</v>
      </c>
      <c r="N54" s="26">
        <v>0.00913839166974599</v>
      </c>
      <c r="O54" s="13">
        <v>3943183</v>
      </c>
      <c r="P54" s="13">
        <v>8337969</v>
      </c>
      <c r="Q54" s="40">
        <v>-0.5271</v>
      </c>
      <c r="R54" s="40">
        <v>0.0088989328546533</v>
      </c>
      <c r="S54" s="35">
        <v>3349.025</v>
      </c>
      <c r="T54" s="35">
        <v>5173.015</v>
      </c>
      <c r="U54" s="14">
        <v>-0.3526</v>
      </c>
      <c r="V54" s="26">
        <v>0.00913839166974599</v>
      </c>
      <c r="W54" s="39">
        <v>203461</v>
      </c>
      <c r="X54" s="26">
        <v>0.00722381052250446</v>
      </c>
      <c r="Y54" s="13">
        <v>232728</v>
      </c>
      <c r="Z54" s="43">
        <v>-0.1258</v>
      </c>
    </row>
    <row r="55" customFormat="1" spans="1:26">
      <c r="A55" s="23"/>
      <c r="B55" s="30" t="s">
        <v>78</v>
      </c>
      <c r="C55" s="13">
        <v>504147</v>
      </c>
      <c r="D55" s="13">
        <v>467240</v>
      </c>
      <c r="E55" s="14">
        <v>0.079</v>
      </c>
      <c r="F55" s="13">
        <v>1040921</v>
      </c>
      <c r="G55" s="40">
        <v>-0.5157</v>
      </c>
      <c r="H55" s="26">
        <v>0.00113775351077414</v>
      </c>
      <c r="I55" s="35">
        <v>331.985</v>
      </c>
      <c r="J55" s="35">
        <v>239.88</v>
      </c>
      <c r="K55" s="40">
        <v>0.3839</v>
      </c>
      <c r="L55" s="35">
        <v>807.01</v>
      </c>
      <c r="M55" s="14">
        <v>-0.5886</v>
      </c>
      <c r="N55" s="26">
        <v>0.000905878265608833</v>
      </c>
      <c r="O55" s="13">
        <v>504147</v>
      </c>
      <c r="P55" s="13">
        <v>467240</v>
      </c>
      <c r="Q55" s="40">
        <v>0.079</v>
      </c>
      <c r="R55" s="40">
        <v>0.00113775351077414</v>
      </c>
      <c r="S55" s="35">
        <v>331.985</v>
      </c>
      <c r="T55" s="35">
        <v>239.88</v>
      </c>
      <c r="U55" s="14">
        <v>0.384</v>
      </c>
      <c r="V55" s="26">
        <v>0.000905878265608833</v>
      </c>
      <c r="W55" s="39">
        <v>62649</v>
      </c>
      <c r="X55" s="26">
        <v>0.00222433048802661</v>
      </c>
      <c r="Y55" s="13">
        <v>85691</v>
      </c>
      <c r="Z55" s="43">
        <v>-0.2689</v>
      </c>
    </row>
    <row r="56" customFormat="1" spans="1:26">
      <c r="A56" s="23"/>
      <c r="B56" s="30" t="s">
        <v>79</v>
      </c>
      <c r="C56" s="13">
        <v>1482214</v>
      </c>
      <c r="D56" s="13">
        <v>2366851</v>
      </c>
      <c r="E56" s="14">
        <v>-0.3738</v>
      </c>
      <c r="F56" s="13">
        <v>2304393</v>
      </c>
      <c r="G56" s="40">
        <v>-0.3568</v>
      </c>
      <c r="H56" s="26">
        <v>0.00334504456481657</v>
      </c>
      <c r="I56" s="35">
        <v>749.73</v>
      </c>
      <c r="J56" s="35">
        <v>926.575</v>
      </c>
      <c r="K56" s="40">
        <v>-0.1909</v>
      </c>
      <c r="L56" s="35">
        <v>1079.895</v>
      </c>
      <c r="M56" s="14">
        <v>-0.3057</v>
      </c>
      <c r="N56" s="26">
        <v>0.00204576746562318</v>
      </c>
      <c r="O56" s="13">
        <v>1482214</v>
      </c>
      <c r="P56" s="13">
        <v>2366851</v>
      </c>
      <c r="Q56" s="40">
        <v>-0.3738</v>
      </c>
      <c r="R56" s="40">
        <v>0.00334504456481657</v>
      </c>
      <c r="S56" s="35">
        <v>749.73</v>
      </c>
      <c r="T56" s="35">
        <v>926.575</v>
      </c>
      <c r="U56" s="14">
        <v>-0.1909</v>
      </c>
      <c r="V56" s="26">
        <v>0.00204576746562318</v>
      </c>
      <c r="W56" s="39">
        <v>121816</v>
      </c>
      <c r="X56" s="26">
        <v>0.00432503380308464</v>
      </c>
      <c r="Y56" s="13">
        <v>108539</v>
      </c>
      <c r="Z56" s="43">
        <v>0.1223</v>
      </c>
    </row>
    <row r="57" customFormat="1" spans="1:26">
      <c r="A57" s="23"/>
      <c r="B57" s="30" t="s">
        <v>80</v>
      </c>
      <c r="C57" s="13">
        <v>16858299</v>
      </c>
      <c r="D57" s="13">
        <v>8881030</v>
      </c>
      <c r="E57" s="14">
        <v>0.8982</v>
      </c>
      <c r="F57" s="13">
        <v>19481077</v>
      </c>
      <c r="G57" s="40">
        <v>-0.1346</v>
      </c>
      <c r="H57" s="26">
        <v>0.0380456273129268</v>
      </c>
      <c r="I57" s="35">
        <v>8636.65</v>
      </c>
      <c r="J57" s="35">
        <v>2796.8</v>
      </c>
      <c r="K57" s="40">
        <v>2.088</v>
      </c>
      <c r="L57" s="35">
        <v>9246.86</v>
      </c>
      <c r="M57" s="14">
        <v>-0.066</v>
      </c>
      <c r="N57" s="26">
        <v>0.0235665874141016</v>
      </c>
      <c r="O57" s="13">
        <v>16858299</v>
      </c>
      <c r="P57" s="13">
        <v>8881030</v>
      </c>
      <c r="Q57" s="40">
        <v>0.8982</v>
      </c>
      <c r="R57" s="40">
        <v>0.0380456273129268</v>
      </c>
      <c r="S57" s="35">
        <v>8636.65</v>
      </c>
      <c r="T57" s="35">
        <v>2796.8</v>
      </c>
      <c r="U57" s="14">
        <v>2.088</v>
      </c>
      <c r="V57" s="26">
        <v>0.0235665874141016</v>
      </c>
      <c r="W57" s="39">
        <v>583165</v>
      </c>
      <c r="X57" s="26">
        <v>0.0207050661471059</v>
      </c>
      <c r="Y57" s="13">
        <v>509168</v>
      </c>
      <c r="Z57" s="43">
        <v>0.1453</v>
      </c>
    </row>
    <row r="58" customFormat="1" spans="1:26">
      <c r="A58" s="23"/>
      <c r="B58" s="30" t="s">
        <v>81</v>
      </c>
      <c r="C58" s="13">
        <v>3503238</v>
      </c>
      <c r="D58" s="13">
        <v>2798951</v>
      </c>
      <c r="E58" s="14">
        <v>0.2516</v>
      </c>
      <c r="F58" s="13">
        <v>3992889</v>
      </c>
      <c r="G58" s="40">
        <v>-0.1226</v>
      </c>
      <c r="H58" s="26">
        <v>0.00790606972485677</v>
      </c>
      <c r="I58" s="35">
        <v>1293.505</v>
      </c>
      <c r="J58" s="35">
        <v>928.99</v>
      </c>
      <c r="K58" s="40">
        <v>0.3924</v>
      </c>
      <c r="L58" s="35">
        <v>1358.42</v>
      </c>
      <c r="M58" s="14">
        <v>-0.0478</v>
      </c>
      <c r="N58" s="26">
        <v>0.00352955123260495</v>
      </c>
      <c r="O58" s="13">
        <v>3503238</v>
      </c>
      <c r="P58" s="13">
        <v>2798951</v>
      </c>
      <c r="Q58" s="40">
        <v>0.2516</v>
      </c>
      <c r="R58" s="40">
        <v>0.00790606972485677</v>
      </c>
      <c r="S58" s="35">
        <v>1293.505</v>
      </c>
      <c r="T58" s="35">
        <v>928.99</v>
      </c>
      <c r="U58" s="14">
        <v>0.3924</v>
      </c>
      <c r="V58" s="26">
        <v>0.00352955123260495</v>
      </c>
      <c r="W58" s="39">
        <v>203966</v>
      </c>
      <c r="X58" s="26">
        <v>0.00724174036809582</v>
      </c>
      <c r="Y58" s="13">
        <v>174735</v>
      </c>
      <c r="Z58" s="43">
        <v>0.1673</v>
      </c>
    </row>
    <row r="59" customFormat="1" spans="1:26">
      <c r="A59" s="23"/>
      <c r="B59" s="30" t="s">
        <v>82</v>
      </c>
      <c r="C59" s="13">
        <v>2429714</v>
      </c>
      <c r="D59" s="13" t="s">
        <v>83</v>
      </c>
      <c r="E59" s="14" t="s">
        <v>84</v>
      </c>
      <c r="F59" s="13">
        <v>2124109</v>
      </c>
      <c r="G59" s="40">
        <v>0.1439</v>
      </c>
      <c r="H59" s="26">
        <v>0.00548335234302113</v>
      </c>
      <c r="I59" s="35">
        <v>971.585</v>
      </c>
      <c r="J59" s="35" t="s">
        <v>83</v>
      </c>
      <c r="K59" s="40" t="s">
        <v>84</v>
      </c>
      <c r="L59" s="35">
        <v>868.06</v>
      </c>
      <c r="M59" s="14">
        <v>0.1193</v>
      </c>
      <c r="N59" s="26">
        <v>0.0026511370534559</v>
      </c>
      <c r="O59" s="13">
        <v>2429714</v>
      </c>
      <c r="P59" s="13" t="s">
        <v>83</v>
      </c>
      <c r="Q59" s="40" t="s">
        <v>84</v>
      </c>
      <c r="R59" s="40">
        <v>0.00548335234302113</v>
      </c>
      <c r="S59" s="35">
        <v>971.585</v>
      </c>
      <c r="T59" s="35" t="s">
        <v>83</v>
      </c>
      <c r="U59" s="14" t="s">
        <v>84</v>
      </c>
      <c r="V59" s="26">
        <v>0.0026511370534559</v>
      </c>
      <c r="W59" s="39">
        <v>192920</v>
      </c>
      <c r="X59" s="26">
        <v>0.00684955606234885</v>
      </c>
      <c r="Y59" s="13">
        <v>175768</v>
      </c>
      <c r="Z59" s="43">
        <v>0.0976</v>
      </c>
    </row>
    <row r="60" customFormat="1" spans="1:26">
      <c r="A60" s="23"/>
      <c r="B60" s="78" t="s">
        <v>85</v>
      </c>
      <c r="C60" s="79">
        <v>144265951</v>
      </c>
      <c r="D60" s="79">
        <v>202485027</v>
      </c>
      <c r="E60" s="80">
        <v>-0.2875</v>
      </c>
      <c r="F60" s="79">
        <v>188370744</v>
      </c>
      <c r="G60" s="81">
        <v>-0.2341</v>
      </c>
      <c r="H60" s="82">
        <v>0.325577841850531</v>
      </c>
      <c r="I60" s="85">
        <v>60775.54</v>
      </c>
      <c r="J60" s="85">
        <v>75832.115</v>
      </c>
      <c r="K60" s="81">
        <v>-0.1986</v>
      </c>
      <c r="L60" s="85">
        <v>78181.645</v>
      </c>
      <c r="M60" s="80">
        <v>-0.2226</v>
      </c>
      <c r="N60" s="82">
        <v>0.165836531068091</v>
      </c>
      <c r="O60" s="79">
        <v>144265951</v>
      </c>
      <c r="P60" s="79">
        <v>202485027</v>
      </c>
      <c r="Q60" s="81">
        <v>-0.2875</v>
      </c>
      <c r="R60" s="81">
        <v>0.325577841850531</v>
      </c>
      <c r="S60" s="85">
        <v>60775.54</v>
      </c>
      <c r="T60" s="85">
        <v>75832.12</v>
      </c>
      <c r="U60" s="80">
        <v>-0.1986</v>
      </c>
      <c r="V60" s="82">
        <v>0.165836531068091</v>
      </c>
      <c r="W60" s="88">
        <v>8304836</v>
      </c>
      <c r="X60" s="82">
        <v>0.294860251765566</v>
      </c>
      <c r="Y60" s="79">
        <v>8082877</v>
      </c>
      <c r="Z60" s="91">
        <v>0.0275</v>
      </c>
    </row>
    <row r="61" customFormat="1" spans="1:26">
      <c r="A61" s="11" t="s">
        <v>86</v>
      </c>
      <c r="B61" s="12" t="s">
        <v>87</v>
      </c>
      <c r="C61" s="13">
        <v>3615806</v>
      </c>
      <c r="D61" s="13">
        <v>3613842</v>
      </c>
      <c r="E61" s="14">
        <v>0.000543465929058407</v>
      </c>
      <c r="F61" s="13">
        <v>4816389</v>
      </c>
      <c r="G61" s="14">
        <v>-0.249270355862037</v>
      </c>
      <c r="H61" s="14">
        <v>0.00816011197285353</v>
      </c>
      <c r="I61" s="35">
        <v>2144.3230885</v>
      </c>
      <c r="J61" s="35">
        <v>2078.0911732</v>
      </c>
      <c r="K61" s="40">
        <v>0.031871515626531</v>
      </c>
      <c r="L61" s="35">
        <v>2881.6119304</v>
      </c>
      <c r="M61" s="14">
        <v>-0.255859865834764</v>
      </c>
      <c r="N61" s="19">
        <v>0.00585115496277047</v>
      </c>
      <c r="O61" s="13">
        <v>3615806</v>
      </c>
      <c r="P61" s="13">
        <v>3613842</v>
      </c>
      <c r="Q61" s="40">
        <v>0.000543465929058407</v>
      </c>
      <c r="R61" s="19">
        <v>0.00816011197285353</v>
      </c>
      <c r="S61" s="35">
        <v>2144.3230885</v>
      </c>
      <c r="T61" s="35">
        <v>2078.0911732</v>
      </c>
      <c r="U61" s="14">
        <v>0.031871515626531</v>
      </c>
      <c r="V61" s="19">
        <v>0.00585115496277047</v>
      </c>
      <c r="W61" s="13">
        <v>164317</v>
      </c>
      <c r="X61" s="19">
        <v>0.00583401670898288</v>
      </c>
      <c r="Y61" s="13">
        <v>247683</v>
      </c>
      <c r="Z61" s="43">
        <v>-0.336583455465252</v>
      </c>
    </row>
    <row r="62" customFormat="1" spans="1:26">
      <c r="A62" s="11"/>
      <c r="B62" s="12" t="s">
        <v>88</v>
      </c>
      <c r="C62" s="13">
        <v>932179</v>
      </c>
      <c r="D62" s="13">
        <v>1867940</v>
      </c>
      <c r="E62" s="14">
        <v>-0.500958810240158</v>
      </c>
      <c r="F62" s="13">
        <v>1069524</v>
      </c>
      <c r="G62" s="14">
        <v>-0.128416940620313</v>
      </c>
      <c r="H62" s="14">
        <v>0.00210373151069018</v>
      </c>
      <c r="I62" s="35">
        <v>404.5919166</v>
      </c>
      <c r="J62" s="35">
        <v>798.6349813</v>
      </c>
      <c r="K62" s="40">
        <v>-0.493395698819235</v>
      </c>
      <c r="L62" s="35">
        <v>444.764891</v>
      </c>
      <c r="M62" s="14">
        <v>-0.0903240683177036</v>
      </c>
      <c r="N62" s="19">
        <v>0.00110399874599443</v>
      </c>
      <c r="O62" s="13">
        <v>932179</v>
      </c>
      <c r="P62" s="13">
        <v>1867940</v>
      </c>
      <c r="Q62" s="40">
        <v>-0.500958810240158</v>
      </c>
      <c r="R62" s="19">
        <v>0.00210373151069018</v>
      </c>
      <c r="S62" s="35">
        <v>404.5919166</v>
      </c>
      <c r="T62" s="35">
        <v>798.6349813</v>
      </c>
      <c r="U62" s="14">
        <v>-0.493395698819235</v>
      </c>
      <c r="V62" s="19">
        <v>0.00110399874599443</v>
      </c>
      <c r="W62" s="13">
        <v>36062</v>
      </c>
      <c r="X62" s="19">
        <v>0.00128036849844715</v>
      </c>
      <c r="Y62" s="13">
        <v>38638</v>
      </c>
      <c r="Z62" s="43">
        <v>-0.0666701175009058</v>
      </c>
    </row>
    <row r="63" customFormat="1" spans="1:26">
      <c r="A63" s="11"/>
      <c r="B63" s="12" t="s">
        <v>89</v>
      </c>
      <c r="C63" s="13">
        <v>0</v>
      </c>
      <c r="D63" s="13">
        <v>0</v>
      </c>
      <c r="E63" s="14" t="s">
        <v>84</v>
      </c>
      <c r="F63" s="13">
        <v>0</v>
      </c>
      <c r="G63" s="14" t="s">
        <v>84</v>
      </c>
      <c r="H63" s="14">
        <v>0</v>
      </c>
      <c r="I63" s="35">
        <v>0</v>
      </c>
      <c r="J63" s="35">
        <v>0</v>
      </c>
      <c r="K63" s="40" t="s">
        <v>84</v>
      </c>
      <c r="L63" s="35">
        <v>0</v>
      </c>
      <c r="M63" s="14" t="s">
        <v>84</v>
      </c>
      <c r="N63" s="19">
        <v>0</v>
      </c>
      <c r="O63" s="13">
        <v>0</v>
      </c>
      <c r="P63" s="13">
        <v>0</v>
      </c>
      <c r="Q63" s="40" t="s">
        <v>84</v>
      </c>
      <c r="R63" s="19">
        <v>0</v>
      </c>
      <c r="S63" s="35">
        <v>0</v>
      </c>
      <c r="T63" s="35">
        <v>0</v>
      </c>
      <c r="U63" s="14" t="s">
        <v>84</v>
      </c>
      <c r="V63" s="19">
        <v>0</v>
      </c>
      <c r="W63" s="13">
        <v>0</v>
      </c>
      <c r="X63" s="19">
        <v>0</v>
      </c>
      <c r="Y63" s="13">
        <v>0</v>
      </c>
      <c r="Z63" s="43" t="s">
        <v>84</v>
      </c>
    </row>
    <row r="64" customFormat="1" spans="1:26">
      <c r="A64" s="11"/>
      <c r="B64" s="12" t="s">
        <v>90</v>
      </c>
      <c r="C64" s="13">
        <v>10742726</v>
      </c>
      <c r="D64" s="13">
        <v>18077810</v>
      </c>
      <c r="E64" s="14">
        <v>-0.405750696572207</v>
      </c>
      <c r="F64" s="13">
        <v>14990414</v>
      </c>
      <c r="G64" s="14">
        <v>-0.283360286113512</v>
      </c>
      <c r="H64" s="14">
        <v>0.0242440681423962</v>
      </c>
      <c r="I64" s="35">
        <v>2922.3505628</v>
      </c>
      <c r="J64" s="35">
        <v>5086.0937613</v>
      </c>
      <c r="K64" s="40">
        <v>-0.425423379915621</v>
      </c>
      <c r="L64" s="35">
        <v>4035.4897796</v>
      </c>
      <c r="M64" s="14">
        <v>-0.275837451609241</v>
      </c>
      <c r="N64" s="19">
        <v>0.00797413696200208</v>
      </c>
      <c r="O64" s="13">
        <v>10742726</v>
      </c>
      <c r="P64" s="13">
        <v>18077810</v>
      </c>
      <c r="Q64" s="40">
        <v>-0.405750696572207</v>
      </c>
      <c r="R64" s="19">
        <v>0.0242440681423962</v>
      </c>
      <c r="S64" s="35">
        <v>2922.3505628</v>
      </c>
      <c r="T64" s="35">
        <v>5086.0937613</v>
      </c>
      <c r="U64" s="14">
        <v>-0.425423379915621</v>
      </c>
      <c r="V64" s="19">
        <v>0.00797413696200208</v>
      </c>
      <c r="W64" s="13">
        <v>1558273</v>
      </c>
      <c r="X64" s="19">
        <v>0.0553259292657295</v>
      </c>
      <c r="Y64" s="13">
        <v>1464172</v>
      </c>
      <c r="Z64" s="43">
        <v>0.0642690886043442</v>
      </c>
    </row>
    <row r="65" customFormat="1" spans="1:26">
      <c r="A65" s="11"/>
      <c r="B65" s="12" t="s">
        <v>91</v>
      </c>
      <c r="C65" s="13">
        <v>3451078</v>
      </c>
      <c r="D65" s="13">
        <v>4261021</v>
      </c>
      <c r="E65" s="14">
        <v>-0.190081907599141</v>
      </c>
      <c r="F65" s="13">
        <v>4787152</v>
      </c>
      <c r="G65" s="14">
        <v>-0.279095796415071</v>
      </c>
      <c r="H65" s="14">
        <v>0.00778835559956796</v>
      </c>
      <c r="I65" s="35">
        <v>1072.858426</v>
      </c>
      <c r="J65" s="35">
        <v>1371.0681519</v>
      </c>
      <c r="K65" s="40">
        <v>-0.217501752547272</v>
      </c>
      <c r="L65" s="35">
        <v>1475.2519253</v>
      </c>
      <c r="M65" s="14">
        <v>-0.272762565090821</v>
      </c>
      <c r="N65" s="19">
        <v>0.00292747904329624</v>
      </c>
      <c r="O65" s="13">
        <v>3451078</v>
      </c>
      <c r="P65" s="13">
        <v>4261021</v>
      </c>
      <c r="Q65" s="40">
        <v>-0.190081907599141</v>
      </c>
      <c r="R65" s="19">
        <v>0.00778835559956796</v>
      </c>
      <c r="S65" s="35">
        <v>1072.858426</v>
      </c>
      <c r="T65" s="35">
        <v>1371.0681519</v>
      </c>
      <c r="U65" s="14">
        <v>-0.217501752547272</v>
      </c>
      <c r="V65" s="19">
        <v>0.00292747904329624</v>
      </c>
      <c r="W65" s="13">
        <v>278876</v>
      </c>
      <c r="X65" s="19">
        <v>0.00990139330522289</v>
      </c>
      <c r="Y65" s="13">
        <v>244394</v>
      </c>
      <c r="Z65" s="43">
        <v>0.141091843498613</v>
      </c>
    </row>
    <row r="66" customFormat="1" spans="1:26">
      <c r="A66" s="11"/>
      <c r="B66" s="12" t="s">
        <v>92</v>
      </c>
      <c r="C66" s="13">
        <v>5681856</v>
      </c>
      <c r="D66" s="13">
        <v>7136338</v>
      </c>
      <c r="E66" s="14">
        <v>-0.203813496501987</v>
      </c>
      <c r="F66" s="13">
        <v>6964403</v>
      </c>
      <c r="G66" s="14">
        <v>-0.184157493470725</v>
      </c>
      <c r="H66" s="14">
        <v>0.0128227513239454</v>
      </c>
      <c r="I66" s="35">
        <v>2454.2580479</v>
      </c>
      <c r="J66" s="35">
        <v>2462.7809341</v>
      </c>
      <c r="K66" s="40">
        <v>-0.00346067572717934</v>
      </c>
      <c r="L66" s="35">
        <v>2801.79149755</v>
      </c>
      <c r="M66" s="14">
        <v>-0.124039725994564</v>
      </c>
      <c r="N66" s="19">
        <v>0.00669686589390536</v>
      </c>
      <c r="O66" s="13">
        <v>5681856</v>
      </c>
      <c r="P66" s="13">
        <v>7136338</v>
      </c>
      <c r="Q66" s="40">
        <v>-0.203813496501987</v>
      </c>
      <c r="R66" s="19">
        <v>0.0128227513239454</v>
      </c>
      <c r="S66" s="35">
        <v>2454.2580479</v>
      </c>
      <c r="T66" s="35">
        <v>2462.7809341</v>
      </c>
      <c r="U66" s="14">
        <v>-0.00346067572717934</v>
      </c>
      <c r="V66" s="19">
        <v>0.00669686589390536</v>
      </c>
      <c r="W66" s="13">
        <v>193129</v>
      </c>
      <c r="X66" s="19">
        <v>0.00685697653309855</v>
      </c>
      <c r="Y66" s="13">
        <v>216167</v>
      </c>
      <c r="Z66" s="43">
        <v>-0.106575009136455</v>
      </c>
    </row>
    <row r="67" customFormat="1" spans="1:26">
      <c r="A67" s="11"/>
      <c r="B67" s="12" t="s">
        <v>93</v>
      </c>
      <c r="C67" s="13">
        <v>7724982</v>
      </c>
      <c r="D67" s="13">
        <v>7733983</v>
      </c>
      <c r="E67" s="14">
        <v>-0.00116382464249021</v>
      </c>
      <c r="F67" s="13">
        <v>8887860</v>
      </c>
      <c r="G67" s="14">
        <v>-0.130838919604944</v>
      </c>
      <c r="H67" s="14">
        <v>0.0174336560391454</v>
      </c>
      <c r="I67" s="35">
        <v>4059.237562</v>
      </c>
      <c r="J67" s="35">
        <v>3442.2724008</v>
      </c>
      <c r="K67" s="40">
        <v>0.179231940231289</v>
      </c>
      <c r="L67" s="35">
        <v>4316.7973024</v>
      </c>
      <c r="M67" s="14">
        <v>-0.0596645434931136</v>
      </c>
      <c r="N67" s="19">
        <v>0.0110763289978728</v>
      </c>
      <c r="O67" s="13">
        <v>7724982</v>
      </c>
      <c r="P67" s="13">
        <v>7733983</v>
      </c>
      <c r="Q67" s="40">
        <v>-0.00116382464249021</v>
      </c>
      <c r="R67" s="19">
        <v>0.0174336560391454</v>
      </c>
      <c r="S67" s="35">
        <v>4059.237562</v>
      </c>
      <c r="T67" s="35">
        <v>3442.2724008</v>
      </c>
      <c r="U67" s="14">
        <v>0.179231940231289</v>
      </c>
      <c r="V67" s="19">
        <v>0.0110763289978728</v>
      </c>
      <c r="W67" s="13">
        <v>403637</v>
      </c>
      <c r="X67" s="19">
        <v>0.0143309882870532</v>
      </c>
      <c r="Y67" s="13">
        <v>408517</v>
      </c>
      <c r="Z67" s="43">
        <v>-0.0119456473047633</v>
      </c>
    </row>
    <row r="68" customFormat="1" spans="1:26">
      <c r="A68" s="11"/>
      <c r="B68" s="12" t="s">
        <v>94</v>
      </c>
      <c r="C68" s="13">
        <v>47067</v>
      </c>
      <c r="D68" s="13">
        <v>60821</v>
      </c>
      <c r="E68" s="14">
        <v>-0.226138998043439</v>
      </c>
      <c r="F68" s="13">
        <v>77620</v>
      </c>
      <c r="G68" s="14">
        <v>-0.39362277763463</v>
      </c>
      <c r="H68" s="14">
        <v>0.000106220297832986</v>
      </c>
      <c r="I68" s="35">
        <v>6.12349635</v>
      </c>
      <c r="J68" s="35">
        <v>8.0017956</v>
      </c>
      <c r="K68" s="40">
        <v>-0.234734720042086</v>
      </c>
      <c r="L68" s="35">
        <v>9.88256565</v>
      </c>
      <c r="M68" s="14">
        <v>-0.38037382529303</v>
      </c>
      <c r="N68" s="19">
        <v>1.67090147235568e-5</v>
      </c>
      <c r="O68" s="13">
        <v>47067</v>
      </c>
      <c r="P68" s="13">
        <v>60821</v>
      </c>
      <c r="Q68" s="40">
        <v>-0.226138998043439</v>
      </c>
      <c r="R68" s="19">
        <v>0.000106220297832986</v>
      </c>
      <c r="S68" s="35">
        <v>6.12349635</v>
      </c>
      <c r="T68" s="35">
        <v>8.0017956</v>
      </c>
      <c r="U68" s="14">
        <v>-0.234734720042086</v>
      </c>
      <c r="V68" s="19">
        <v>1.67090147235568e-5</v>
      </c>
      <c r="W68" s="13">
        <v>1053</v>
      </c>
      <c r="X68" s="19">
        <v>3.73863909063516e-5</v>
      </c>
      <c r="Y68" s="13">
        <v>1004</v>
      </c>
      <c r="Z68" s="43">
        <v>0.048804780876494</v>
      </c>
    </row>
    <row r="69" customFormat="1" spans="1:26">
      <c r="A69" s="11"/>
      <c r="B69" s="12" t="s">
        <v>95</v>
      </c>
      <c r="C69" s="13">
        <v>15330122</v>
      </c>
      <c r="D69" s="13">
        <v>8923641</v>
      </c>
      <c r="E69" s="14">
        <v>0.717922314445415</v>
      </c>
      <c r="F69" s="13">
        <v>27509718</v>
      </c>
      <c r="G69" s="14">
        <v>-0.442737944460209</v>
      </c>
      <c r="H69" s="14">
        <v>0.0345968539455671</v>
      </c>
      <c r="I69" s="35">
        <v>11164.214572</v>
      </c>
      <c r="J69" s="35">
        <v>9251.46103</v>
      </c>
      <c r="K69" s="40">
        <v>0.206751510469261</v>
      </c>
      <c r="L69" s="35">
        <v>18125.1129725</v>
      </c>
      <c r="M69" s="14">
        <v>-0.384047173171351</v>
      </c>
      <c r="N69" s="19">
        <v>0.0304634827879821</v>
      </c>
      <c r="O69" s="13">
        <v>15330122</v>
      </c>
      <c r="P69" s="13">
        <v>8923641</v>
      </c>
      <c r="Q69" s="40">
        <v>0.717922314445415</v>
      </c>
      <c r="R69" s="19">
        <v>0.0345968539455671</v>
      </c>
      <c r="S69" s="35">
        <v>11164.214572</v>
      </c>
      <c r="T69" s="35">
        <v>9251.46103</v>
      </c>
      <c r="U69" s="14">
        <v>0.206751510469261</v>
      </c>
      <c r="V69" s="19">
        <v>0.0304634827879821</v>
      </c>
      <c r="W69" s="13">
        <v>995981</v>
      </c>
      <c r="X69" s="19">
        <v>0.0353619515681851</v>
      </c>
      <c r="Y69" s="13">
        <v>1074078</v>
      </c>
      <c r="Z69" s="43">
        <v>-0.0727107342297301</v>
      </c>
    </row>
    <row r="70" customFormat="1" spans="1:26">
      <c r="A70" s="11"/>
      <c r="B70" s="12" t="s">
        <v>96</v>
      </c>
      <c r="C70" s="13">
        <v>672777</v>
      </c>
      <c r="D70" s="13">
        <v>6568567</v>
      </c>
      <c r="E70" s="14">
        <v>-0.897576290231949</v>
      </c>
      <c r="F70" s="13">
        <v>875365</v>
      </c>
      <c r="G70" s="14">
        <v>-0.231432602400142</v>
      </c>
      <c r="H70" s="14">
        <v>0.00151831587556425</v>
      </c>
      <c r="I70" s="35">
        <v>2049.269175</v>
      </c>
      <c r="J70" s="35">
        <v>18366.838439</v>
      </c>
      <c r="K70" s="40">
        <v>-0.888425589313804</v>
      </c>
      <c r="L70" s="35">
        <v>2583.1494495</v>
      </c>
      <c r="M70" s="14">
        <v>-0.206678043581001</v>
      </c>
      <c r="N70" s="19">
        <v>0.00559178398426026</v>
      </c>
      <c r="O70" s="13">
        <v>672777</v>
      </c>
      <c r="P70" s="13">
        <v>6568567</v>
      </c>
      <c r="Q70" s="40">
        <v>-0.897576290231949</v>
      </c>
      <c r="R70" s="19">
        <v>0.00151831587556425</v>
      </c>
      <c r="S70" s="35">
        <v>2049.269175</v>
      </c>
      <c r="T70" s="35">
        <v>18366.838439</v>
      </c>
      <c r="U70" s="14">
        <v>-0.888425589313804</v>
      </c>
      <c r="V70" s="19">
        <v>0.00559178398426026</v>
      </c>
      <c r="W70" s="13">
        <v>27630</v>
      </c>
      <c r="X70" s="19">
        <v>0.000980993334038456</v>
      </c>
      <c r="Y70" s="13">
        <v>32480</v>
      </c>
      <c r="Z70" s="43">
        <v>-0.149322660098522</v>
      </c>
    </row>
    <row r="71" customFormat="1" spans="1:26">
      <c r="A71" s="11"/>
      <c r="B71" s="12" t="s">
        <v>97</v>
      </c>
      <c r="C71" s="13">
        <v>2351955</v>
      </c>
      <c r="D71" s="13">
        <v>9251891</v>
      </c>
      <c r="E71" s="14">
        <v>-0.74578656406566</v>
      </c>
      <c r="F71" s="13">
        <v>2760423</v>
      </c>
      <c r="G71" s="14">
        <v>-0.147972973707291</v>
      </c>
      <c r="H71" s="14">
        <v>0.0053078666706988</v>
      </c>
      <c r="I71" s="35">
        <v>962.4902861</v>
      </c>
      <c r="J71" s="35">
        <v>4001.8532473</v>
      </c>
      <c r="K71" s="40">
        <v>-0.759488860130146</v>
      </c>
      <c r="L71" s="35">
        <v>1146.3549282</v>
      </c>
      <c r="M71" s="14">
        <v>-0.160390676200697</v>
      </c>
      <c r="N71" s="19">
        <v>0.00262632055977715</v>
      </c>
      <c r="O71" s="13">
        <v>2351955</v>
      </c>
      <c r="P71" s="13">
        <v>9251891</v>
      </c>
      <c r="Q71" s="40">
        <v>-0.74578656406566</v>
      </c>
      <c r="R71" s="19">
        <v>0.0053078666706988</v>
      </c>
      <c r="S71" s="35">
        <v>962.4902861</v>
      </c>
      <c r="T71" s="35">
        <v>4001.8532473</v>
      </c>
      <c r="U71" s="14">
        <v>-0.759488860130146</v>
      </c>
      <c r="V71" s="19">
        <v>0.00262632055977715</v>
      </c>
      <c r="W71" s="13">
        <v>203741</v>
      </c>
      <c r="X71" s="19">
        <v>0.00723375182303036</v>
      </c>
      <c r="Y71" s="13">
        <v>238767</v>
      </c>
      <c r="Z71" s="43">
        <v>-0.146695313841528</v>
      </c>
    </row>
    <row r="72" customFormat="1" spans="1:26">
      <c r="A72" s="11"/>
      <c r="B72" s="12" t="s">
        <v>98</v>
      </c>
      <c r="C72" s="13">
        <v>847133</v>
      </c>
      <c r="D72" s="13">
        <v>4962544</v>
      </c>
      <c r="E72" s="14">
        <v>-0.829294611795885</v>
      </c>
      <c r="F72" s="13">
        <v>1247012</v>
      </c>
      <c r="G72" s="14">
        <v>-0.32066972892001</v>
      </c>
      <c r="H72" s="14">
        <v>0.00191180061538128</v>
      </c>
      <c r="I72" s="35">
        <v>1156.2278286</v>
      </c>
      <c r="J72" s="35">
        <v>4981.8953097</v>
      </c>
      <c r="K72" s="40">
        <v>-0.767914065486529</v>
      </c>
      <c r="L72" s="35">
        <v>1572.4082787</v>
      </c>
      <c r="M72" s="14">
        <v>-0.264677091654643</v>
      </c>
      <c r="N72" s="19">
        <v>0.00315496682085286</v>
      </c>
      <c r="O72" s="13">
        <v>847133</v>
      </c>
      <c r="P72" s="13">
        <v>4962544</v>
      </c>
      <c r="Q72" s="40">
        <v>-0.829294611795885</v>
      </c>
      <c r="R72" s="19">
        <v>0.00191180061538128</v>
      </c>
      <c r="S72" s="35">
        <v>1156.2278286</v>
      </c>
      <c r="T72" s="35">
        <v>4981.8953097</v>
      </c>
      <c r="U72" s="14">
        <v>-0.767914065486529</v>
      </c>
      <c r="V72" s="19">
        <v>0.00315496682085286</v>
      </c>
      <c r="W72" s="13">
        <v>32823</v>
      </c>
      <c r="X72" s="19">
        <v>0.00116536895414927</v>
      </c>
      <c r="Y72" s="13">
        <v>48363</v>
      </c>
      <c r="Z72" s="43">
        <v>-0.32132001736865</v>
      </c>
    </row>
    <row r="73" customFormat="1" spans="1:26">
      <c r="A73" s="11"/>
      <c r="B73" s="12" t="s">
        <v>99</v>
      </c>
      <c r="C73" s="13">
        <v>10442118</v>
      </c>
      <c r="D73" s="13">
        <v>7826755</v>
      </c>
      <c r="E73" s="14">
        <v>0.334156748230908</v>
      </c>
      <c r="F73" s="13">
        <v>13224406</v>
      </c>
      <c r="G73" s="14">
        <v>-0.210390394850249</v>
      </c>
      <c r="H73" s="14">
        <v>0.0235656592510078</v>
      </c>
      <c r="I73" s="35">
        <v>4605.71924065</v>
      </c>
      <c r="J73" s="35">
        <v>3010.453135</v>
      </c>
      <c r="K73" s="40">
        <v>0.529908965232903</v>
      </c>
      <c r="L73" s="35">
        <v>5599.6748276</v>
      </c>
      <c r="M73" s="14">
        <v>-0.177502376039933</v>
      </c>
      <c r="N73" s="19">
        <v>0.0125674984038473</v>
      </c>
      <c r="O73" s="13">
        <v>10442118</v>
      </c>
      <c r="P73" s="13">
        <v>7826755</v>
      </c>
      <c r="Q73" s="40">
        <v>0.334156748230908</v>
      </c>
      <c r="R73" s="19">
        <v>0.0235656592510078</v>
      </c>
      <c r="S73" s="35">
        <v>4605.71924065</v>
      </c>
      <c r="T73" s="35">
        <v>3010.453135</v>
      </c>
      <c r="U73" s="14">
        <v>0.529908965232903</v>
      </c>
      <c r="V73" s="19">
        <v>0.0125674984038473</v>
      </c>
      <c r="W73" s="13">
        <v>536861</v>
      </c>
      <c r="X73" s="19">
        <v>0.019061059077279</v>
      </c>
      <c r="Y73" s="13">
        <v>564822</v>
      </c>
      <c r="Z73" s="43">
        <v>-0.0495040915545074</v>
      </c>
    </row>
    <row r="74" customFormat="1" spans="1:26">
      <c r="A74" s="11"/>
      <c r="B74" s="12" t="s">
        <v>100</v>
      </c>
      <c r="C74" s="13">
        <v>507525</v>
      </c>
      <c r="D74" s="13">
        <v>353940</v>
      </c>
      <c r="E74" s="14">
        <v>0.433929479572809</v>
      </c>
      <c r="F74" s="13">
        <v>665483</v>
      </c>
      <c r="G74" s="14">
        <v>-0.237358429892274</v>
      </c>
      <c r="H74" s="14">
        <v>0.00114537694473168</v>
      </c>
      <c r="I74" s="35">
        <v>1163.487796</v>
      </c>
      <c r="J74" s="35">
        <v>1475.0147352</v>
      </c>
      <c r="K74" s="40">
        <v>-0.211202594635612</v>
      </c>
      <c r="L74" s="35">
        <v>1567.1016624</v>
      </c>
      <c r="M74" s="14">
        <v>-0.257554360437516</v>
      </c>
      <c r="N74" s="19">
        <v>0.00317477689262323</v>
      </c>
      <c r="O74" s="13">
        <v>507525</v>
      </c>
      <c r="P74" s="13">
        <v>353940</v>
      </c>
      <c r="Q74" s="40">
        <v>0.433929479572809</v>
      </c>
      <c r="R74" s="19">
        <v>0.00114537694473168</v>
      </c>
      <c r="S74" s="35">
        <v>1163.487796</v>
      </c>
      <c r="T74" s="35">
        <v>1475.0147352</v>
      </c>
      <c r="U74" s="14">
        <v>-0.211202594635612</v>
      </c>
      <c r="V74" s="19">
        <v>0.00317477689262323</v>
      </c>
      <c r="W74" s="13">
        <v>114200</v>
      </c>
      <c r="X74" s="19">
        <v>0.00405463042878001</v>
      </c>
      <c r="Y74" s="13">
        <v>100692</v>
      </c>
      <c r="Z74" s="43">
        <v>0.134151670440551</v>
      </c>
    </row>
    <row r="75" customFormat="1" spans="1:26">
      <c r="A75" s="11"/>
      <c r="B75" s="12" t="s">
        <v>101</v>
      </c>
      <c r="C75" s="13">
        <v>21235802</v>
      </c>
      <c r="D75" s="13">
        <v>42527818</v>
      </c>
      <c r="E75" s="14">
        <v>-0.500660908584588</v>
      </c>
      <c r="F75" s="13">
        <v>26200609</v>
      </c>
      <c r="G75" s="14">
        <v>-0.189492045776493</v>
      </c>
      <c r="H75" s="14">
        <v>0.0479247288580601</v>
      </c>
      <c r="I75" s="35">
        <v>6913.1995559</v>
      </c>
      <c r="J75" s="35">
        <v>15187.4514232</v>
      </c>
      <c r="K75" s="40">
        <v>-0.54480844986674</v>
      </c>
      <c r="L75" s="35">
        <v>8337.271582</v>
      </c>
      <c r="M75" s="14">
        <v>-0.170807921043923</v>
      </c>
      <c r="N75" s="19">
        <v>0.0188638559679095</v>
      </c>
      <c r="O75" s="13">
        <v>21235802</v>
      </c>
      <c r="P75" s="13">
        <v>42527818</v>
      </c>
      <c r="Q75" s="40">
        <v>-0.500660908584588</v>
      </c>
      <c r="R75" s="19">
        <v>0.0479247288580601</v>
      </c>
      <c r="S75" s="35">
        <v>6913.1995559</v>
      </c>
      <c r="T75" s="35">
        <v>15187.4514232</v>
      </c>
      <c r="U75" s="14">
        <v>-0.54480844986674</v>
      </c>
      <c r="V75" s="19">
        <v>0.0188638559679095</v>
      </c>
      <c r="W75" s="13">
        <v>2109990</v>
      </c>
      <c r="X75" s="19">
        <v>0.0749144453451973</v>
      </c>
      <c r="Y75" s="13">
        <v>2214455</v>
      </c>
      <c r="Z75" s="43">
        <v>-0.0471741353967454</v>
      </c>
    </row>
    <row r="76" customFormat="1" spans="1:26">
      <c r="A76" s="11"/>
      <c r="B76" s="12" t="s">
        <v>102</v>
      </c>
      <c r="C76" s="13">
        <v>14526728</v>
      </c>
      <c r="D76" s="13">
        <v>14994237</v>
      </c>
      <c r="E76" s="14">
        <v>-0.0311792457328772</v>
      </c>
      <c r="F76" s="13">
        <v>19808939</v>
      </c>
      <c r="G76" s="14">
        <v>-0.266657946697701</v>
      </c>
      <c r="H76" s="14">
        <v>0.0327837630335219</v>
      </c>
      <c r="I76" s="35">
        <v>13310.2972048</v>
      </c>
      <c r="J76" s="35">
        <v>10251.7820638</v>
      </c>
      <c r="K76" s="40">
        <v>0.298339851741475</v>
      </c>
      <c r="L76" s="35">
        <v>16811.2862782</v>
      </c>
      <c r="M76" s="14">
        <v>-0.208252302379735</v>
      </c>
      <c r="N76" s="19">
        <v>0.0363194389705026</v>
      </c>
      <c r="O76" s="13">
        <v>14526728</v>
      </c>
      <c r="P76" s="13">
        <v>14994237</v>
      </c>
      <c r="Q76" s="40">
        <v>-0.0311792457328772</v>
      </c>
      <c r="R76" s="19">
        <v>0.0327837630335219</v>
      </c>
      <c r="S76" s="35">
        <v>13310.2972048</v>
      </c>
      <c r="T76" s="35">
        <v>10251.7820638</v>
      </c>
      <c r="U76" s="14">
        <v>0.298339851741475</v>
      </c>
      <c r="V76" s="19">
        <v>0.0363194389705026</v>
      </c>
      <c r="W76" s="13">
        <v>682702</v>
      </c>
      <c r="X76" s="19">
        <v>0.0242390919701311</v>
      </c>
      <c r="Y76" s="13">
        <v>608154</v>
      </c>
      <c r="Z76" s="43">
        <v>0.122580793680548</v>
      </c>
    </row>
    <row r="77" customFormat="1" spans="1:26">
      <c r="A77" s="11"/>
      <c r="B77" s="12" t="s">
        <v>103</v>
      </c>
      <c r="C77" s="13">
        <v>5025151</v>
      </c>
      <c r="D77" s="13">
        <v>2321774</v>
      </c>
      <c r="E77" s="14">
        <v>1.16435837424314</v>
      </c>
      <c r="F77" s="13">
        <v>4873653</v>
      </c>
      <c r="G77" s="14">
        <v>0.0310851018732765</v>
      </c>
      <c r="H77" s="14">
        <v>0.0113407065645936</v>
      </c>
      <c r="I77" s="35">
        <v>4781.0398782</v>
      </c>
      <c r="J77" s="35">
        <v>1725.866033</v>
      </c>
      <c r="K77" s="40">
        <v>1.77022653368368</v>
      </c>
      <c r="L77" s="35">
        <v>4276.8431956</v>
      </c>
      <c r="M77" s="14">
        <v>0.117889915421429</v>
      </c>
      <c r="N77" s="19">
        <v>0.0130458909669729</v>
      </c>
      <c r="O77" s="13">
        <v>5025151</v>
      </c>
      <c r="P77" s="13">
        <v>2321774</v>
      </c>
      <c r="Q77" s="40">
        <v>1.16435837424314</v>
      </c>
      <c r="R77" s="19">
        <v>0.0113407065645936</v>
      </c>
      <c r="S77" s="35">
        <v>4781.0398782</v>
      </c>
      <c r="T77" s="35">
        <v>1725.866033</v>
      </c>
      <c r="U77" s="14">
        <v>1.77022653368368</v>
      </c>
      <c r="V77" s="19">
        <v>0.0130458909669729</v>
      </c>
      <c r="W77" s="13">
        <v>110050</v>
      </c>
      <c r="X77" s="19">
        <v>0.0039072861531282</v>
      </c>
      <c r="Y77" s="13">
        <v>148961</v>
      </c>
      <c r="Z77" s="43">
        <v>-0.261216022985882</v>
      </c>
    </row>
    <row r="78" customFormat="1" spans="1:26">
      <c r="A78" s="11"/>
      <c r="B78" s="12" t="s">
        <v>104</v>
      </c>
      <c r="C78" s="13">
        <v>13142790</v>
      </c>
      <c r="D78" s="13">
        <v>13027416</v>
      </c>
      <c r="E78" s="14">
        <v>0.00885624593549483</v>
      </c>
      <c r="F78" s="13">
        <v>20667218</v>
      </c>
      <c r="G78" s="14">
        <v>-0.364075513211309</v>
      </c>
      <c r="H78" s="14">
        <v>0.0296605066852867</v>
      </c>
      <c r="I78" s="35">
        <v>5527.6163481</v>
      </c>
      <c r="J78" s="35">
        <v>5230.8479477</v>
      </c>
      <c r="K78" s="40">
        <v>0.0567342815863132</v>
      </c>
      <c r="L78" s="35">
        <v>8333.73470065</v>
      </c>
      <c r="M78" s="14">
        <v>-0.336717984594726</v>
      </c>
      <c r="N78" s="19">
        <v>0.01508305348244</v>
      </c>
      <c r="O78" s="13">
        <v>13142790</v>
      </c>
      <c r="P78" s="13">
        <v>13027416</v>
      </c>
      <c r="Q78" s="40">
        <v>0.00885624593549483</v>
      </c>
      <c r="R78" s="19">
        <v>0.0296605066852867</v>
      </c>
      <c r="S78" s="35">
        <v>5527.6163481</v>
      </c>
      <c r="T78" s="35">
        <v>5230.8479477</v>
      </c>
      <c r="U78" s="14">
        <v>0.0567342815863132</v>
      </c>
      <c r="V78" s="19">
        <v>0.01508305348244</v>
      </c>
      <c r="W78" s="13">
        <v>569272</v>
      </c>
      <c r="X78" s="19">
        <v>0.0202118001177973</v>
      </c>
      <c r="Y78" s="13">
        <v>614498</v>
      </c>
      <c r="Z78" s="43">
        <v>-0.0735982867316086</v>
      </c>
    </row>
    <row r="79" customFormat="1" spans="1:26">
      <c r="A79" s="11"/>
      <c r="B79" s="12" t="s">
        <v>105</v>
      </c>
      <c r="C79" s="13">
        <v>263503</v>
      </c>
      <c r="D79" s="13">
        <v>706839</v>
      </c>
      <c r="E79" s="14">
        <v>-0.627209307918776</v>
      </c>
      <c r="F79" s="13">
        <v>487197</v>
      </c>
      <c r="G79" s="14">
        <v>-0.45914486337149</v>
      </c>
      <c r="H79" s="14">
        <v>0.000594670727683627</v>
      </c>
      <c r="I79" s="35">
        <v>89.016199</v>
      </c>
      <c r="J79" s="35">
        <v>260.3663843</v>
      </c>
      <c r="K79" s="40">
        <v>-0.658111782596967</v>
      </c>
      <c r="L79" s="35">
        <v>165.0054118</v>
      </c>
      <c r="M79" s="14">
        <v>-0.460525578955587</v>
      </c>
      <c r="N79" s="19">
        <v>0.000242896034342548</v>
      </c>
      <c r="O79" s="13">
        <v>263503</v>
      </c>
      <c r="P79" s="13">
        <v>706839</v>
      </c>
      <c r="Q79" s="40">
        <v>-0.627209307918776</v>
      </c>
      <c r="R79" s="19">
        <v>0.000594670727683627</v>
      </c>
      <c r="S79" s="35">
        <v>89.016199</v>
      </c>
      <c r="T79" s="35">
        <v>260.3663843</v>
      </c>
      <c r="U79" s="14">
        <v>-0.658111782596967</v>
      </c>
      <c r="V79" s="19">
        <v>0.000242896034342548</v>
      </c>
      <c r="W79" s="13">
        <v>22607</v>
      </c>
      <c r="X79" s="19">
        <v>0.000802653503532659</v>
      </c>
      <c r="Y79" s="13">
        <v>35598</v>
      </c>
      <c r="Z79" s="43">
        <v>-0.364936232372605</v>
      </c>
    </row>
    <row r="80" customFormat="1" spans="1:26">
      <c r="A80" s="11"/>
      <c r="B80" s="12" t="s">
        <v>106</v>
      </c>
      <c r="C80" s="13">
        <v>20590477</v>
      </c>
      <c r="D80" s="13">
        <v>6871190</v>
      </c>
      <c r="E80" s="14">
        <v>1.99663915566299</v>
      </c>
      <c r="F80" s="13">
        <v>26779925</v>
      </c>
      <c r="G80" s="14">
        <v>-0.231122678648278</v>
      </c>
      <c r="H80" s="14">
        <v>0.0464683663599389</v>
      </c>
      <c r="I80" s="35">
        <v>8867.60194585</v>
      </c>
      <c r="J80" s="35">
        <v>2471.11168175</v>
      </c>
      <c r="K80" s="40">
        <v>2.58850715301144</v>
      </c>
      <c r="L80" s="35">
        <v>11185.36107475</v>
      </c>
      <c r="M80" s="14">
        <v>-0.207213617281622</v>
      </c>
      <c r="N80" s="19">
        <v>0.0241967795858732</v>
      </c>
      <c r="O80" s="13">
        <v>20590477</v>
      </c>
      <c r="P80" s="13">
        <v>6871190</v>
      </c>
      <c r="Q80" s="40">
        <v>1.99663915566299</v>
      </c>
      <c r="R80" s="19">
        <v>0.0464683663599389</v>
      </c>
      <c r="S80" s="35">
        <v>8867.60194585</v>
      </c>
      <c r="T80" s="35">
        <v>2471.11168175</v>
      </c>
      <c r="U80" s="14">
        <v>2.58850715301144</v>
      </c>
      <c r="V80" s="19">
        <v>0.0241967795858732</v>
      </c>
      <c r="W80" s="13">
        <v>597512</v>
      </c>
      <c r="X80" s="19">
        <v>0.0212144512851243</v>
      </c>
      <c r="Y80" s="13">
        <v>645623</v>
      </c>
      <c r="Z80" s="43">
        <v>-0.0745187206775472</v>
      </c>
    </row>
    <row r="81" customFormat="1" spans="1:26">
      <c r="A81" s="11"/>
      <c r="B81" s="12" t="s">
        <v>107</v>
      </c>
      <c r="C81" s="13">
        <v>13890812</v>
      </c>
      <c r="D81" s="13">
        <v>15103925</v>
      </c>
      <c r="E81" s="14">
        <v>-0.0803177319802634</v>
      </c>
      <c r="F81" s="13">
        <v>18885218</v>
      </c>
      <c r="G81" s="14">
        <v>-0.264461125097947</v>
      </c>
      <c r="H81" s="14">
        <v>0.0313486346650947</v>
      </c>
      <c r="I81" s="35">
        <v>12785.6441804</v>
      </c>
      <c r="J81" s="35">
        <v>11783.0046242</v>
      </c>
      <c r="K81" s="40">
        <v>0.0850920107542665</v>
      </c>
      <c r="L81" s="35">
        <v>16366.2032174</v>
      </c>
      <c r="M81" s="14">
        <v>-0.218777622973254</v>
      </c>
      <c r="N81" s="19">
        <v>0.0348878328082065</v>
      </c>
      <c r="O81" s="13">
        <v>13890812</v>
      </c>
      <c r="P81" s="13">
        <v>15103925</v>
      </c>
      <c r="Q81" s="40">
        <v>-0.0803177319802634</v>
      </c>
      <c r="R81" s="19">
        <v>0.0313486346650947</v>
      </c>
      <c r="S81" s="35">
        <v>12785.6441804</v>
      </c>
      <c r="T81" s="35">
        <v>11783.0046242</v>
      </c>
      <c r="U81" s="14">
        <v>0.0850920107542665</v>
      </c>
      <c r="V81" s="19">
        <v>0.0348878328082065</v>
      </c>
      <c r="W81" s="13">
        <v>754771</v>
      </c>
      <c r="X81" s="19">
        <v>0.0267978762115649</v>
      </c>
      <c r="Y81" s="13">
        <v>802216</v>
      </c>
      <c r="Z81" s="43">
        <v>-0.0591424254814165</v>
      </c>
    </row>
    <row r="82" customFormat="1" spans="1:26">
      <c r="A82" s="11"/>
      <c r="B82" s="12" t="s">
        <v>108</v>
      </c>
      <c r="C82" s="13">
        <v>2571102</v>
      </c>
      <c r="D82" s="13">
        <v>1176952</v>
      </c>
      <c r="E82" s="14">
        <v>1.18454278509234</v>
      </c>
      <c r="F82" s="13">
        <v>2851627</v>
      </c>
      <c r="G82" s="14">
        <v>-0.0983736652795053</v>
      </c>
      <c r="H82" s="14">
        <v>0.0058024352561027</v>
      </c>
      <c r="I82" s="35">
        <v>8.01240725</v>
      </c>
      <c r="J82" s="35">
        <v>5.8374437</v>
      </c>
      <c r="K82" s="40">
        <v>0.372588355755791</v>
      </c>
      <c r="L82" s="35">
        <v>8.5746117</v>
      </c>
      <c r="M82" s="14">
        <v>-0.0655661701858756</v>
      </c>
      <c r="N82" s="19">
        <v>2.1863233528568e-5</v>
      </c>
      <c r="O82" s="13">
        <v>2571102</v>
      </c>
      <c r="P82" s="13">
        <v>1176952</v>
      </c>
      <c r="Q82" s="40">
        <v>1.18454278509234</v>
      </c>
      <c r="R82" s="19">
        <v>0.0058024352561027</v>
      </c>
      <c r="S82" s="35">
        <v>8.01240725</v>
      </c>
      <c r="T82" s="35">
        <v>5.8374437</v>
      </c>
      <c r="U82" s="14">
        <v>0.372588355755791</v>
      </c>
      <c r="V82" s="19">
        <v>2.1863233528568e-5</v>
      </c>
      <c r="W82" s="13">
        <v>630108</v>
      </c>
      <c r="X82" s="19">
        <v>0.0223717606849187</v>
      </c>
      <c r="Y82" s="13">
        <v>510158</v>
      </c>
      <c r="Z82" s="43">
        <v>0.235123236330705</v>
      </c>
    </row>
    <row r="83" customFormat="1" spans="1:26">
      <c r="A83" s="11"/>
      <c r="B83" s="12" t="s">
        <v>109</v>
      </c>
      <c r="C83" s="13">
        <v>1575755</v>
      </c>
      <c r="D83" s="13">
        <v>676047</v>
      </c>
      <c r="E83" s="14">
        <v>1.33083646551201</v>
      </c>
      <c r="F83" s="13">
        <v>2379539</v>
      </c>
      <c r="G83" s="14">
        <v>-0.337789798780352</v>
      </c>
      <c r="H83" s="14">
        <v>0.00355614688447993</v>
      </c>
      <c r="I83" s="35">
        <v>30.8491504</v>
      </c>
      <c r="J83" s="35">
        <v>21.9388866</v>
      </c>
      <c r="K83" s="40">
        <v>0.40614020038738</v>
      </c>
      <c r="L83" s="35">
        <v>42.1825523</v>
      </c>
      <c r="M83" s="14">
        <v>-0.268675110491121</v>
      </c>
      <c r="N83" s="19">
        <v>8.41772214403001e-5</v>
      </c>
      <c r="O83" s="13">
        <v>1575755</v>
      </c>
      <c r="P83" s="13">
        <v>676047</v>
      </c>
      <c r="Q83" s="40">
        <v>1.33083646551201</v>
      </c>
      <c r="R83" s="19">
        <v>0.00355614688447993</v>
      </c>
      <c r="S83" s="35">
        <v>30.8491504</v>
      </c>
      <c r="T83" s="35">
        <v>21.9388866</v>
      </c>
      <c r="U83" s="14">
        <v>0.40614020038738</v>
      </c>
      <c r="V83" s="19">
        <v>8.41772214403001e-5</v>
      </c>
      <c r="W83" s="13">
        <v>244220</v>
      </c>
      <c r="X83" s="19">
        <v>0.00867094433727367</v>
      </c>
      <c r="Y83" s="13">
        <v>244618</v>
      </c>
      <c r="Z83" s="43">
        <v>-0.00162702662927505</v>
      </c>
    </row>
    <row r="84" customFormat="1" spans="1:26">
      <c r="A84" s="11"/>
      <c r="B84" s="12" t="s">
        <v>110</v>
      </c>
      <c r="C84" s="13">
        <v>382556</v>
      </c>
      <c r="D84" s="13">
        <v>117547</v>
      </c>
      <c r="E84" s="14">
        <v>2.25449394710201</v>
      </c>
      <c r="F84" s="13">
        <v>301644</v>
      </c>
      <c r="G84" s="14">
        <v>0.268236729389612</v>
      </c>
      <c r="H84" s="14">
        <v>0.000863348253719076</v>
      </c>
      <c r="I84" s="35">
        <v>3.0555095</v>
      </c>
      <c r="J84" s="35">
        <v>1.073718075</v>
      </c>
      <c r="K84" s="40">
        <v>1.84572791605469</v>
      </c>
      <c r="L84" s="35">
        <v>2.3265385</v>
      </c>
      <c r="M84" s="14">
        <v>0.313328578057058</v>
      </c>
      <c r="N84" s="19">
        <v>8.3374840622658e-6</v>
      </c>
      <c r="O84" s="13">
        <v>382556</v>
      </c>
      <c r="P84" s="13">
        <v>117547</v>
      </c>
      <c r="Q84" s="40">
        <v>2.25449394710201</v>
      </c>
      <c r="R84" s="19">
        <v>0.000863348253719076</v>
      </c>
      <c r="S84" s="35">
        <v>3.0555095</v>
      </c>
      <c r="T84" s="35">
        <v>1.073718075</v>
      </c>
      <c r="U84" s="14">
        <v>1.84572791605469</v>
      </c>
      <c r="V84" s="19">
        <v>8.3374840622658e-6</v>
      </c>
      <c r="W84" s="13">
        <v>26800</v>
      </c>
      <c r="X84" s="19">
        <v>0.000951524478908093</v>
      </c>
      <c r="Y84" s="13">
        <v>15157</v>
      </c>
      <c r="Z84" s="43">
        <v>0.768159926106749</v>
      </c>
    </row>
    <row r="85" customFormat="1" spans="1:26">
      <c r="A85" s="11"/>
      <c r="B85" s="12" t="s">
        <v>111</v>
      </c>
      <c r="C85" s="13">
        <v>4063600</v>
      </c>
      <c r="D85" s="13">
        <v>3062824</v>
      </c>
      <c r="E85" s="14">
        <v>0.326749431243845</v>
      </c>
      <c r="F85" s="13">
        <v>4074999</v>
      </c>
      <c r="G85" s="14">
        <v>-0.00279730129995126</v>
      </c>
      <c r="H85" s="14">
        <v>0.00917068864117367</v>
      </c>
      <c r="I85" s="35">
        <v>23.16707165</v>
      </c>
      <c r="J85" s="35">
        <v>30.9983585</v>
      </c>
      <c r="K85" s="40">
        <v>-0.25263553391061</v>
      </c>
      <c r="L85" s="35">
        <v>25.30639655</v>
      </c>
      <c r="M85" s="14">
        <v>-0.0845369231361389</v>
      </c>
      <c r="N85" s="19">
        <v>6.32153461317155e-5</v>
      </c>
      <c r="O85" s="13">
        <v>4063600</v>
      </c>
      <c r="P85" s="13">
        <v>3062824</v>
      </c>
      <c r="Q85" s="40">
        <v>0.326749431243845</v>
      </c>
      <c r="R85" s="19">
        <v>0.00917068864117367</v>
      </c>
      <c r="S85" s="35">
        <v>23.16707165</v>
      </c>
      <c r="T85" s="35">
        <v>30.9983585</v>
      </c>
      <c r="U85" s="14">
        <v>-0.25263553391061</v>
      </c>
      <c r="V85" s="19">
        <v>6.32153461317155e-5</v>
      </c>
      <c r="W85" s="13">
        <v>486913</v>
      </c>
      <c r="X85" s="19">
        <v>0.0172876730820364</v>
      </c>
      <c r="Y85" s="13">
        <v>452713</v>
      </c>
      <c r="Z85" s="43">
        <v>0.0755445503000798</v>
      </c>
    </row>
    <row r="86" customFormat="1" ht="22.5" spans="1:26">
      <c r="A86" s="11"/>
      <c r="B86" s="12" t="s">
        <v>112</v>
      </c>
      <c r="C86" s="13">
        <v>259078</v>
      </c>
      <c r="D86" s="13">
        <v>166161</v>
      </c>
      <c r="E86" s="14">
        <v>0.559198608578427</v>
      </c>
      <c r="F86" s="13">
        <v>248503</v>
      </c>
      <c r="G86" s="14">
        <v>0.0425548182516911</v>
      </c>
      <c r="H86" s="14">
        <v>0.0005846844354213</v>
      </c>
      <c r="I86" s="35">
        <v>3.0230016</v>
      </c>
      <c r="J86" s="35">
        <v>1.91686344</v>
      </c>
      <c r="K86" s="40">
        <v>0.57705631862852</v>
      </c>
      <c r="L86" s="35">
        <v>2.56057648</v>
      </c>
      <c r="M86" s="14">
        <v>0.180594144955983</v>
      </c>
      <c r="N86" s="19">
        <v>8.24878065677885e-6</v>
      </c>
      <c r="O86" s="13">
        <v>259078</v>
      </c>
      <c r="P86" s="13">
        <v>166161</v>
      </c>
      <c r="Q86" s="40">
        <v>0.559198608578427</v>
      </c>
      <c r="R86" s="19">
        <v>0.0005846844354213</v>
      </c>
      <c r="S86" s="35">
        <v>3.0230016</v>
      </c>
      <c r="T86" s="35">
        <v>1.91686344</v>
      </c>
      <c r="U86" s="14">
        <v>0.57705631862852</v>
      </c>
      <c r="V86" s="19">
        <v>8.24878065677885e-6</v>
      </c>
      <c r="W86" s="13">
        <v>14850</v>
      </c>
      <c r="X86" s="19">
        <v>0.000527243974320343</v>
      </c>
      <c r="Y86" s="13">
        <v>17692</v>
      </c>
      <c r="Z86" s="43">
        <v>-0.160637576305675</v>
      </c>
    </row>
    <row r="87" customFormat="1" spans="1:26">
      <c r="A87" s="11"/>
      <c r="B87" s="92" t="s">
        <v>113</v>
      </c>
      <c r="C87" s="13">
        <v>351196</v>
      </c>
      <c r="D87" s="13">
        <v>205044</v>
      </c>
      <c r="E87" s="14">
        <v>0.712783597666842</v>
      </c>
      <c r="F87" s="13">
        <v>292269</v>
      </c>
      <c r="G87" s="14">
        <v>0.201619056417205</v>
      </c>
      <c r="H87" s="14">
        <v>0.000792575344036231</v>
      </c>
      <c r="I87" s="35">
        <v>2.294934775</v>
      </c>
      <c r="J87" s="35">
        <v>1.54436495</v>
      </c>
      <c r="K87" s="40">
        <v>0.486005477526539</v>
      </c>
      <c r="L87" s="35">
        <v>1.985161</v>
      </c>
      <c r="M87" s="14">
        <v>0.15604466086126</v>
      </c>
      <c r="N87" s="19">
        <v>6.26212489619229e-6</v>
      </c>
      <c r="O87" s="13">
        <v>351196</v>
      </c>
      <c r="P87" s="13">
        <v>205044</v>
      </c>
      <c r="Q87" s="40">
        <v>0.712783597666842</v>
      </c>
      <c r="R87" s="19">
        <v>0.000792575344036231</v>
      </c>
      <c r="S87" s="35">
        <v>2.294934775</v>
      </c>
      <c r="T87" s="35">
        <v>1.54436495</v>
      </c>
      <c r="U87" s="14">
        <v>0.486005477526539</v>
      </c>
      <c r="V87" s="19">
        <v>6.26212489619229e-6</v>
      </c>
      <c r="W87" s="13">
        <v>29434</v>
      </c>
      <c r="X87" s="19">
        <v>0.00104504371314107</v>
      </c>
      <c r="Y87" s="13">
        <v>20707</v>
      </c>
      <c r="Z87" s="43">
        <v>0.421451683005747</v>
      </c>
    </row>
    <row r="88" customFormat="1" ht="22.5" spans="1:26">
      <c r="A88" s="11"/>
      <c r="B88" s="92" t="s">
        <v>114</v>
      </c>
      <c r="C88" s="13">
        <v>315680</v>
      </c>
      <c r="D88" s="13">
        <v>246754</v>
      </c>
      <c r="E88" s="14">
        <v>0.279330831516409</v>
      </c>
      <c r="F88" s="13">
        <v>422722</v>
      </c>
      <c r="G88" s="14">
        <v>-0.253220792861502</v>
      </c>
      <c r="H88" s="14">
        <v>0.000712423218389041</v>
      </c>
      <c r="I88" s="35">
        <v>3.3443264</v>
      </c>
      <c r="J88" s="35">
        <v>1.77877755</v>
      </c>
      <c r="K88" s="40">
        <v>0.88012626986438</v>
      </c>
      <c r="L88" s="35">
        <v>4.000165275</v>
      </c>
      <c r="M88" s="14">
        <v>-0.163952944419278</v>
      </c>
      <c r="N88" s="19">
        <v>9.12557073018911e-6</v>
      </c>
      <c r="O88" s="13">
        <v>315680</v>
      </c>
      <c r="P88" s="13">
        <v>246754</v>
      </c>
      <c r="Q88" s="40">
        <v>0.279330831516409</v>
      </c>
      <c r="R88" s="19">
        <v>0.000712423218389041</v>
      </c>
      <c r="S88" s="35">
        <v>3.3443264</v>
      </c>
      <c r="T88" s="35">
        <v>1.77877755</v>
      </c>
      <c r="U88" s="14">
        <v>0.88012626986438</v>
      </c>
      <c r="V88" s="19">
        <v>9.12557073018911e-6</v>
      </c>
      <c r="W88" s="13">
        <v>43661</v>
      </c>
      <c r="X88" s="19">
        <v>0.00155016829379128</v>
      </c>
      <c r="Y88" s="13">
        <v>35177</v>
      </c>
      <c r="Z88" s="43">
        <v>0.241180316684197</v>
      </c>
    </row>
    <row r="89" customFormat="1" spans="1:26">
      <c r="A89" s="11"/>
      <c r="B89" s="12" t="s">
        <v>115</v>
      </c>
      <c r="C89" s="13">
        <v>1819359</v>
      </c>
      <c r="D89" s="13" t="s">
        <v>84</v>
      </c>
      <c r="E89" s="14" t="s">
        <v>84</v>
      </c>
      <c r="F89" s="13">
        <v>2038515</v>
      </c>
      <c r="G89" s="14">
        <v>-0.107507671025232</v>
      </c>
      <c r="H89" s="14">
        <v>0.00410590976363744</v>
      </c>
      <c r="I89" s="35">
        <v>26.9035417</v>
      </c>
      <c r="J89" s="35" t="s">
        <v>84</v>
      </c>
      <c r="K89" s="40" t="s">
        <v>84</v>
      </c>
      <c r="L89" s="35">
        <v>21.7348005</v>
      </c>
      <c r="M89" s="14">
        <v>0.237809461375088</v>
      </c>
      <c r="N89" s="19">
        <v>7.34109483679411e-5</v>
      </c>
      <c r="O89" s="13">
        <v>1819359</v>
      </c>
      <c r="P89" s="13" t="s">
        <v>84</v>
      </c>
      <c r="Q89" s="40" t="s">
        <v>84</v>
      </c>
      <c r="R89" s="19">
        <v>0.00410590976363744</v>
      </c>
      <c r="S89" s="35">
        <v>26.9035417</v>
      </c>
      <c r="T89" s="35" t="s">
        <v>84</v>
      </c>
      <c r="U89" s="14" t="s">
        <v>84</v>
      </c>
      <c r="V89" s="19">
        <v>7.34109483679411e-5</v>
      </c>
      <c r="W89" s="13">
        <v>268339</v>
      </c>
      <c r="X89" s="19">
        <v>0.00952728086364622</v>
      </c>
      <c r="Y89" s="13">
        <v>194562</v>
      </c>
      <c r="Z89" s="43">
        <v>0.379195320771785</v>
      </c>
    </row>
    <row r="90" customFormat="1" ht="22.5" spans="1:26">
      <c r="A90" s="45"/>
      <c r="B90" s="53" t="s">
        <v>116</v>
      </c>
      <c r="C90" s="76">
        <v>162360913</v>
      </c>
      <c r="D90" s="76">
        <v>181843621</v>
      </c>
      <c r="E90" s="93">
        <v>-0.107139903466836</v>
      </c>
      <c r="F90" s="76">
        <v>218188346</v>
      </c>
      <c r="G90" s="93">
        <v>-0.255868079223626</v>
      </c>
      <c r="H90" s="93">
        <v>0.366414356880522</v>
      </c>
      <c r="I90" s="84">
        <v>86540.217254025</v>
      </c>
      <c r="J90" s="84">
        <v>103309.977665165</v>
      </c>
      <c r="K90" s="93">
        <v>-0.162324693027154</v>
      </c>
      <c r="L90" s="84">
        <v>112143.768273505</v>
      </c>
      <c r="M90" s="93">
        <v>-0.228310064960864</v>
      </c>
      <c r="N90" s="95">
        <v>0.236139891595969</v>
      </c>
      <c r="O90" s="76">
        <v>162360913</v>
      </c>
      <c r="P90" s="76">
        <v>181843621</v>
      </c>
      <c r="Q90" s="93">
        <v>-0.107139903466836</v>
      </c>
      <c r="R90" s="95">
        <v>0.366414356880522</v>
      </c>
      <c r="S90" s="84">
        <v>86540.217254025</v>
      </c>
      <c r="T90" s="84">
        <v>103309.977665165</v>
      </c>
      <c r="U90" s="93">
        <v>-0.162324693027154</v>
      </c>
      <c r="V90" s="95">
        <v>0.236139891595969</v>
      </c>
      <c r="W90" s="76">
        <v>11137812</v>
      </c>
      <c r="X90" s="95">
        <v>0.395444058189414</v>
      </c>
      <c r="Y90" s="76">
        <v>11240066</v>
      </c>
      <c r="Z90" s="97">
        <v>-0.00909727754267631</v>
      </c>
    </row>
    <row r="91" customFormat="1" ht="22.5" spans="1:26">
      <c r="A91" s="49" t="s">
        <v>117</v>
      </c>
      <c r="B91" s="4" t="s">
        <v>118</v>
      </c>
      <c r="C91" s="13">
        <v>1274370</v>
      </c>
      <c r="D91" s="13">
        <v>1251736</v>
      </c>
      <c r="E91" s="14">
        <v>0.0181</v>
      </c>
      <c r="F91" s="13">
        <v>1514273</v>
      </c>
      <c r="G91" s="14">
        <v>-0.1584</v>
      </c>
      <c r="H91" s="40">
        <v>0.00287598446787393</v>
      </c>
      <c r="I91" s="35">
        <v>12857.4638375</v>
      </c>
      <c r="J91" s="35">
        <v>12261.9397295</v>
      </c>
      <c r="K91" s="14">
        <v>0.0486</v>
      </c>
      <c r="L91" s="35">
        <v>15164.6527355</v>
      </c>
      <c r="M91" s="14">
        <v>-0.1521</v>
      </c>
      <c r="N91" s="26">
        <v>0.0350838051154202</v>
      </c>
      <c r="O91" s="13">
        <v>1274370</v>
      </c>
      <c r="P91" s="13">
        <v>1251736</v>
      </c>
      <c r="Q91" s="14">
        <v>0.0181</v>
      </c>
      <c r="R91" s="26">
        <v>0.00287598446787393</v>
      </c>
      <c r="S91" s="35">
        <v>12857.4638375</v>
      </c>
      <c r="T91" s="35">
        <v>12261.9397295</v>
      </c>
      <c r="U91" s="14">
        <v>0.0486</v>
      </c>
      <c r="V91" s="26">
        <v>0.0350838051154202</v>
      </c>
      <c r="W91" s="13">
        <v>168727</v>
      </c>
      <c r="X91" s="26">
        <v>0.00599059219226589</v>
      </c>
      <c r="Y91" s="13">
        <v>181120</v>
      </c>
      <c r="Z91" s="43">
        <v>-0.0684</v>
      </c>
    </row>
    <row r="92" customFormat="1" ht="22.5" spans="1:26">
      <c r="A92" s="50"/>
      <c r="B92" s="4" t="s">
        <v>119</v>
      </c>
      <c r="C92" s="13">
        <v>268359</v>
      </c>
      <c r="D92" s="13">
        <v>184623</v>
      </c>
      <c r="E92" s="14">
        <v>0.4536</v>
      </c>
      <c r="F92" s="13">
        <v>367705</v>
      </c>
      <c r="G92" s="14">
        <v>-0.2702</v>
      </c>
      <c r="H92" s="40">
        <v>0.000605629696096251</v>
      </c>
      <c r="I92" s="35">
        <v>5431.341956</v>
      </c>
      <c r="J92" s="35">
        <v>3708.020124</v>
      </c>
      <c r="K92" s="14">
        <v>0.4648</v>
      </c>
      <c r="L92" s="35">
        <v>7419.103712</v>
      </c>
      <c r="M92" s="14">
        <v>-0.2679</v>
      </c>
      <c r="N92" s="26">
        <v>0.0148203522178103</v>
      </c>
      <c r="O92" s="13">
        <v>268359</v>
      </c>
      <c r="P92" s="13">
        <v>184623</v>
      </c>
      <c r="Q92" s="14">
        <v>0.4536</v>
      </c>
      <c r="R92" s="26">
        <v>0.000605629696096251</v>
      </c>
      <c r="S92" s="35">
        <v>5431.341956</v>
      </c>
      <c r="T92" s="35">
        <v>3708.020124</v>
      </c>
      <c r="U92" s="14">
        <v>0.4648</v>
      </c>
      <c r="V92" s="26">
        <v>0.0148203522178103</v>
      </c>
      <c r="W92" s="13">
        <v>52023</v>
      </c>
      <c r="X92" s="26">
        <v>0.0018470581330685</v>
      </c>
      <c r="Y92" s="13">
        <v>50160</v>
      </c>
      <c r="Z92" s="43">
        <v>0.0371</v>
      </c>
    </row>
    <row r="93" customFormat="1" ht="22.5" spans="1:26">
      <c r="A93" s="51"/>
      <c r="B93" s="4" t="s">
        <v>120</v>
      </c>
      <c r="C93" s="13">
        <v>675832</v>
      </c>
      <c r="D93" s="13">
        <v>553056</v>
      </c>
      <c r="E93" s="14">
        <v>0.222</v>
      </c>
      <c r="F93" s="13">
        <v>576459</v>
      </c>
      <c r="G93" s="14">
        <v>0.1724</v>
      </c>
      <c r="H93" s="40">
        <v>0.00152521036660638</v>
      </c>
      <c r="I93" s="35">
        <v>6895.0124855</v>
      </c>
      <c r="J93" s="35">
        <v>5521.542223</v>
      </c>
      <c r="K93" s="14">
        <v>0.2487</v>
      </c>
      <c r="L93" s="35">
        <v>5837.747687</v>
      </c>
      <c r="M93" s="14">
        <v>0.1811</v>
      </c>
      <c r="N93" s="26">
        <v>0.0188142294131241</v>
      </c>
      <c r="O93" s="13">
        <v>675832</v>
      </c>
      <c r="P93" s="13">
        <v>553056</v>
      </c>
      <c r="Q93" s="14">
        <v>0.222</v>
      </c>
      <c r="R93" s="26">
        <v>0.00152521036660638</v>
      </c>
      <c r="S93" s="35">
        <v>6895.0124855</v>
      </c>
      <c r="T93" s="35">
        <v>5521.542223</v>
      </c>
      <c r="U93" s="14">
        <v>0.2487</v>
      </c>
      <c r="V93" s="26">
        <v>0.0188142294131241</v>
      </c>
      <c r="W93" s="13">
        <v>107883</v>
      </c>
      <c r="X93" s="26">
        <v>0.00383034758798663</v>
      </c>
      <c r="Y93" s="13">
        <v>87790</v>
      </c>
      <c r="Z93" s="43">
        <v>0.2289</v>
      </c>
    </row>
    <row r="94" customFormat="1" ht="22.5" spans="1:26">
      <c r="A94" s="51"/>
      <c r="B94" s="4" t="s">
        <v>121</v>
      </c>
      <c r="C94" s="13">
        <v>1894001</v>
      </c>
      <c r="D94" s="13">
        <v>2864305</v>
      </c>
      <c r="E94" s="14">
        <v>-0.3388</v>
      </c>
      <c r="F94" s="13">
        <v>2121930</v>
      </c>
      <c r="G94" s="14">
        <v>-0.1074</v>
      </c>
      <c r="H94" s="40">
        <v>0.00427436102398651</v>
      </c>
      <c r="I94" s="35">
        <v>27199.3079196</v>
      </c>
      <c r="J94" s="35">
        <v>46952.1750636</v>
      </c>
      <c r="K94" s="14">
        <v>-0.4207</v>
      </c>
      <c r="L94" s="35">
        <v>31663.1883264</v>
      </c>
      <c r="M94" s="14">
        <v>-0.141</v>
      </c>
      <c r="N94" s="26">
        <v>0.0742179974515952</v>
      </c>
      <c r="O94" s="13">
        <v>1894001</v>
      </c>
      <c r="P94" s="13">
        <v>2864305</v>
      </c>
      <c r="Q94" s="14">
        <v>-0.3388</v>
      </c>
      <c r="R94" s="26">
        <v>0.00427436102398651</v>
      </c>
      <c r="S94" s="35">
        <v>27199.3079196</v>
      </c>
      <c r="T94" s="35">
        <v>46952.1750636</v>
      </c>
      <c r="U94" s="14">
        <v>-0.4207</v>
      </c>
      <c r="V94" s="26">
        <v>0.0742179974515952</v>
      </c>
      <c r="W94" s="13">
        <v>208396</v>
      </c>
      <c r="X94" s="26">
        <v>0.00739902594427354</v>
      </c>
      <c r="Y94" s="13">
        <v>193556</v>
      </c>
      <c r="Z94" s="43">
        <v>0.0767</v>
      </c>
    </row>
    <row r="95" customFormat="1" ht="22.5" spans="1:26">
      <c r="A95" s="51"/>
      <c r="B95" s="4" t="s">
        <v>122</v>
      </c>
      <c r="C95" s="13">
        <v>2776523</v>
      </c>
      <c r="D95" s="13">
        <v>2817340</v>
      </c>
      <c r="E95" s="14">
        <v>-0.0145</v>
      </c>
      <c r="F95" s="13">
        <v>2800940</v>
      </c>
      <c r="G95" s="14">
        <v>-0.0087</v>
      </c>
      <c r="H95" s="40">
        <v>0.00626602715278508</v>
      </c>
      <c r="I95" s="35">
        <v>174.88771</v>
      </c>
      <c r="J95" s="35">
        <v>316.8534646</v>
      </c>
      <c r="K95" s="14">
        <v>-0.448</v>
      </c>
      <c r="L95" s="35">
        <v>180.115105</v>
      </c>
      <c r="M95" s="14">
        <v>-0.029</v>
      </c>
      <c r="N95" s="26">
        <v>0.000477211245722248</v>
      </c>
      <c r="O95" s="13">
        <v>2776523</v>
      </c>
      <c r="P95" s="13">
        <v>2817340</v>
      </c>
      <c r="Q95" s="14">
        <v>-0.0145</v>
      </c>
      <c r="R95" s="26">
        <v>0.00626602715278508</v>
      </c>
      <c r="S95" s="35">
        <v>174.88771</v>
      </c>
      <c r="T95" s="35">
        <v>316.8534646</v>
      </c>
      <c r="U95" s="14">
        <v>-0.448</v>
      </c>
      <c r="V95" s="26">
        <v>0.000477211245722248</v>
      </c>
      <c r="W95" s="13">
        <v>185242</v>
      </c>
      <c r="X95" s="26">
        <v>0.00657695140007063</v>
      </c>
      <c r="Y95" s="13">
        <v>195960</v>
      </c>
      <c r="Z95" s="43">
        <v>-0.0547</v>
      </c>
    </row>
    <row r="96" customFormat="1" ht="22.5" spans="1:26">
      <c r="A96" s="51"/>
      <c r="B96" s="4" t="s">
        <v>123</v>
      </c>
      <c r="C96" s="13">
        <v>1142050</v>
      </c>
      <c r="D96" s="13">
        <v>1145540</v>
      </c>
      <c r="E96" s="14">
        <v>-0.003</v>
      </c>
      <c r="F96" s="13">
        <v>1262303</v>
      </c>
      <c r="G96" s="14">
        <v>-0.0953</v>
      </c>
      <c r="H96" s="40">
        <v>0.00257736611936519</v>
      </c>
      <c r="I96" s="35">
        <v>10972.862352</v>
      </c>
      <c r="J96" s="35">
        <v>13048.093089</v>
      </c>
      <c r="K96" s="14">
        <v>-0.159</v>
      </c>
      <c r="L96" s="35">
        <v>12504.0724728</v>
      </c>
      <c r="M96" s="14">
        <v>-0.1225</v>
      </c>
      <c r="N96" s="26">
        <v>0.0299413452902819</v>
      </c>
      <c r="O96" s="13">
        <v>1142050</v>
      </c>
      <c r="P96" s="13">
        <v>1145540</v>
      </c>
      <c r="Q96" s="14">
        <v>-0.003</v>
      </c>
      <c r="R96" s="26">
        <v>0.00257736611936519</v>
      </c>
      <c r="S96" s="35">
        <v>10972.862352</v>
      </c>
      <c r="T96" s="35">
        <v>13048.093089</v>
      </c>
      <c r="U96" s="14">
        <v>-0.159</v>
      </c>
      <c r="V96" s="26">
        <v>0.0299413452902819</v>
      </c>
      <c r="W96" s="13">
        <v>119724</v>
      </c>
      <c r="X96" s="26">
        <v>0.00425075808629823</v>
      </c>
      <c r="Y96" s="13">
        <v>115078</v>
      </c>
      <c r="Z96" s="43">
        <v>0.0404</v>
      </c>
    </row>
    <row r="97" customFormat="1" ht="22.5" spans="1:26">
      <c r="A97" s="51"/>
      <c r="B97" s="4" t="s">
        <v>124</v>
      </c>
      <c r="C97" s="13">
        <v>1683461</v>
      </c>
      <c r="D97" s="13">
        <v>2225275</v>
      </c>
      <c r="E97" s="14">
        <v>-0.2435</v>
      </c>
      <c r="F97" s="13">
        <v>1779534</v>
      </c>
      <c r="G97" s="14">
        <v>-0.054</v>
      </c>
      <c r="H97" s="40">
        <v>0.00379921662332879</v>
      </c>
      <c r="I97" s="35">
        <v>23608.5019604</v>
      </c>
      <c r="J97" s="35">
        <v>28553.0536504</v>
      </c>
      <c r="K97" s="14">
        <v>-0.1732</v>
      </c>
      <c r="L97" s="35">
        <v>25764.1632768</v>
      </c>
      <c r="M97" s="14">
        <v>-0.0837</v>
      </c>
      <c r="N97" s="26">
        <v>0.0644198647815711</v>
      </c>
      <c r="O97" s="13">
        <v>1683461</v>
      </c>
      <c r="P97" s="13">
        <v>2225275</v>
      </c>
      <c r="Q97" s="14">
        <v>-0.2435</v>
      </c>
      <c r="R97" s="26">
        <v>0.00379921662332879</v>
      </c>
      <c r="S97" s="35">
        <v>23608.5019604</v>
      </c>
      <c r="T97" s="35">
        <v>28553.0536504</v>
      </c>
      <c r="U97" s="14">
        <v>-0.1732</v>
      </c>
      <c r="V97" s="26">
        <v>0.0644198647815711</v>
      </c>
      <c r="W97" s="13">
        <v>314211</v>
      </c>
      <c r="X97" s="26">
        <v>0.0111559499269474</v>
      </c>
      <c r="Y97" s="13">
        <v>271465</v>
      </c>
      <c r="Z97" s="43">
        <v>0.1575</v>
      </c>
    </row>
    <row r="98" customFormat="1" spans="1:26">
      <c r="A98" s="94"/>
      <c r="B98" s="53" t="s">
        <v>125</v>
      </c>
      <c r="C98" s="76">
        <v>9714596</v>
      </c>
      <c r="D98" s="76">
        <v>11041875</v>
      </c>
      <c r="E98" s="77">
        <v>-0.1202</v>
      </c>
      <c r="F98" s="76">
        <v>10423144</v>
      </c>
      <c r="G98" s="77">
        <v>-0.068</v>
      </c>
      <c r="H98" s="93">
        <v>0.0219237954500421</v>
      </c>
      <c r="I98" s="84">
        <v>87139.378221</v>
      </c>
      <c r="J98" s="84">
        <v>110361.6773441</v>
      </c>
      <c r="K98" s="77">
        <v>-0.2104</v>
      </c>
      <c r="L98" s="84">
        <v>98533.0433155</v>
      </c>
      <c r="M98" s="93">
        <v>-0.1156</v>
      </c>
      <c r="N98" s="95">
        <v>0.237774805515525</v>
      </c>
      <c r="O98" s="76">
        <v>9714596</v>
      </c>
      <c r="P98" s="76">
        <v>11041875</v>
      </c>
      <c r="Q98" s="77">
        <v>-0.1202</v>
      </c>
      <c r="R98" s="95">
        <v>0.0219237954500421</v>
      </c>
      <c r="S98" s="84">
        <v>87139.378221</v>
      </c>
      <c r="T98" s="84">
        <v>110361.6773441</v>
      </c>
      <c r="U98" s="77">
        <v>-0.2104</v>
      </c>
      <c r="V98" s="95">
        <v>0.237774805515525</v>
      </c>
      <c r="W98" s="76">
        <v>1156206</v>
      </c>
      <c r="X98" s="95">
        <v>0.0410506832709108</v>
      </c>
      <c r="Y98" s="76">
        <v>1095129</v>
      </c>
      <c r="Z98" s="90">
        <v>0.0558</v>
      </c>
    </row>
    <row r="99" customFormat="1" ht="14.25" spans="1:26">
      <c r="A99" s="55" t="s">
        <v>126</v>
      </c>
      <c r="B99" s="56"/>
      <c r="C99" s="57">
        <v>443107400</v>
      </c>
      <c r="D99" s="57">
        <v>607213235</v>
      </c>
      <c r="E99" s="58">
        <v>-0.270260635870363</v>
      </c>
      <c r="F99" s="59">
        <v>594960223</v>
      </c>
      <c r="G99" s="60">
        <v>-0.255231891359567</v>
      </c>
      <c r="H99" s="60">
        <v>1</v>
      </c>
      <c r="I99" s="66">
        <v>366478.601599825</v>
      </c>
      <c r="J99" s="66">
        <v>462344.064395465</v>
      </c>
      <c r="K99" s="58">
        <v>-0.207346584888006</v>
      </c>
      <c r="L99" s="66">
        <v>447399.393560605</v>
      </c>
      <c r="M99" s="60">
        <v>-0.180869248205225</v>
      </c>
      <c r="N99" s="67">
        <v>1</v>
      </c>
      <c r="O99" s="57">
        <v>443107400</v>
      </c>
      <c r="P99" s="57">
        <v>607213235</v>
      </c>
      <c r="Q99" s="58">
        <v>-0.270260635870363</v>
      </c>
      <c r="R99" s="67">
        <v>1</v>
      </c>
      <c r="S99" s="66">
        <v>366478.601599825</v>
      </c>
      <c r="T99" s="66">
        <v>462344.069395465</v>
      </c>
      <c r="U99" s="60">
        <v>-0.207346593460122</v>
      </c>
      <c r="V99" s="67">
        <v>1</v>
      </c>
      <c r="W99" s="57">
        <v>28165329</v>
      </c>
      <c r="X99" s="67">
        <v>1</v>
      </c>
      <c r="Y99" s="57">
        <v>28679360</v>
      </c>
      <c r="Z99" s="69">
        <v>-0.0179233776485947</v>
      </c>
    </row>
    <row r="100" customFormat="1" spans="1:26">
      <c r="A100" s="61" t="s">
        <v>127</v>
      </c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</row>
  </sheetData>
  <mergeCells count="7">
    <mergeCell ref="A99:B99"/>
    <mergeCell ref="A100:Z100"/>
    <mergeCell ref="A3:A24"/>
    <mergeCell ref="A25:A30"/>
    <mergeCell ref="A31:A60"/>
    <mergeCell ref="A61:A90"/>
    <mergeCell ref="A91:A9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"/>
  <sheetViews>
    <sheetView zoomScale="90" zoomScaleNormal="90" workbookViewId="0">
      <selection activeCell="J14" sqref="J14"/>
    </sheetView>
  </sheetViews>
  <sheetFormatPr defaultColWidth="9" defaultRowHeight="13.5"/>
  <cols>
    <col min="3" max="3" width="15.3333333333333" customWidth="1"/>
    <col min="4" max="4" width="13.25" customWidth="1"/>
    <col min="6" max="6" width="15.4416666666667" customWidth="1"/>
    <col min="9" max="9" width="13.1083333333333" customWidth="1"/>
    <col min="10" max="10" width="13" customWidth="1"/>
    <col min="11" max="11" width="11.225" customWidth="1"/>
    <col min="12" max="12" width="11.6666666666667" customWidth="1"/>
    <col min="15" max="15" width="15.1083333333333" customWidth="1"/>
    <col min="16" max="16" width="17.4416666666667" customWidth="1"/>
    <col min="17" max="17" width="9" customWidth="1"/>
    <col min="18" max="18" width="11.1083333333333" customWidth="1"/>
    <col min="19" max="19" width="15.1333333333333" customWidth="1"/>
    <col min="20" max="20" width="15.3333333333333" customWidth="1"/>
    <col min="21" max="21" width="11.5" customWidth="1"/>
    <col min="23" max="23" width="12.1083333333333" customWidth="1"/>
    <col min="24" max="24" width="9" customWidth="1"/>
    <col min="25" max="25" width="12.1333333333333" customWidth="1"/>
    <col min="26" max="26" width="10.3333333333333" customWidth="1"/>
  </cols>
  <sheetData>
    <row r="1" customFormat="1" ht="14.25" spans="1:26">
      <c r="A1" s="1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 t="s">
        <v>0</v>
      </c>
      <c r="N1" s="34" t="s">
        <v>128</v>
      </c>
      <c r="O1" s="6" t="s">
        <v>2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="70" customFormat="1" ht="47" customHeight="1" spans="1:26">
      <c r="A2" s="7" t="s">
        <v>3</v>
      </c>
      <c r="B2" s="8" t="s">
        <v>4</v>
      </c>
      <c r="C2" s="9" t="s">
        <v>5</v>
      </c>
      <c r="D2" s="9" t="s">
        <v>6</v>
      </c>
      <c r="E2" s="10" t="s">
        <v>7</v>
      </c>
      <c r="F2" s="9" t="s">
        <v>8</v>
      </c>
      <c r="G2" s="10" t="s">
        <v>9</v>
      </c>
      <c r="H2" s="10" t="s">
        <v>10</v>
      </c>
      <c r="I2" s="8" t="s">
        <v>11</v>
      </c>
      <c r="J2" s="8" t="s">
        <v>12</v>
      </c>
      <c r="K2" s="10" t="s">
        <v>7</v>
      </c>
      <c r="L2" s="8" t="s">
        <v>13</v>
      </c>
      <c r="M2" s="10" t="s">
        <v>9</v>
      </c>
      <c r="N2" s="10" t="s">
        <v>14</v>
      </c>
      <c r="O2" s="9" t="s">
        <v>15</v>
      </c>
      <c r="P2" s="9" t="s">
        <v>16</v>
      </c>
      <c r="Q2" s="10" t="s">
        <v>7</v>
      </c>
      <c r="R2" s="10" t="s">
        <v>17</v>
      </c>
      <c r="S2" s="8" t="s">
        <v>18</v>
      </c>
      <c r="T2" s="8" t="s">
        <v>19</v>
      </c>
      <c r="U2" s="10" t="s">
        <v>7</v>
      </c>
      <c r="V2" s="10" t="s">
        <v>20</v>
      </c>
      <c r="W2" s="9" t="s">
        <v>21</v>
      </c>
      <c r="X2" s="10" t="s">
        <v>22</v>
      </c>
      <c r="Y2" s="9" t="s">
        <v>23</v>
      </c>
      <c r="Z2" s="42" t="s">
        <v>9</v>
      </c>
    </row>
    <row r="3" customFormat="1" spans="1:26">
      <c r="A3" s="11" t="s">
        <v>24</v>
      </c>
      <c r="B3" s="12" t="s">
        <v>25</v>
      </c>
      <c r="C3" s="13">
        <v>4562470</v>
      </c>
      <c r="D3" s="13">
        <v>9877561</v>
      </c>
      <c r="E3" s="14">
        <v>-0.538097512128753</v>
      </c>
      <c r="F3" s="13">
        <v>7125645</v>
      </c>
      <c r="G3" s="14">
        <v>-0.35971129631072</v>
      </c>
      <c r="H3" s="14">
        <v>0.0106868117691886</v>
      </c>
      <c r="I3" s="35">
        <v>2956.5546636</v>
      </c>
      <c r="J3" s="35">
        <v>6768.3327812</v>
      </c>
      <c r="K3" s="14">
        <v>-0.563178295279415</v>
      </c>
      <c r="L3" s="35">
        <v>4377.3626262</v>
      </c>
      <c r="M3" s="14">
        <v>-0.324580822730103</v>
      </c>
      <c r="N3" s="14">
        <v>0.00843728861286118</v>
      </c>
      <c r="O3" s="13">
        <v>11688115</v>
      </c>
      <c r="P3" s="13">
        <v>22477436</v>
      </c>
      <c r="Q3" s="14">
        <v>-0.480006749880191</v>
      </c>
      <c r="R3" s="14">
        <v>0.0134341104685184</v>
      </c>
      <c r="S3" s="35">
        <v>7333.9172898</v>
      </c>
      <c r="T3" s="35">
        <v>14666.127118</v>
      </c>
      <c r="U3" s="14">
        <v>-0.499941788940384</v>
      </c>
      <c r="V3" s="14">
        <v>0.0102301298785297</v>
      </c>
      <c r="W3" s="39">
        <v>380185</v>
      </c>
      <c r="X3" s="14">
        <v>0.0120172536893666</v>
      </c>
      <c r="Y3" s="39">
        <v>326025</v>
      </c>
      <c r="Z3" s="43">
        <v>0.166122229890346</v>
      </c>
    </row>
    <row r="4" customFormat="1" spans="1:26">
      <c r="A4" s="11"/>
      <c r="B4" s="12" t="s">
        <v>26</v>
      </c>
      <c r="C4" s="13">
        <v>4022792</v>
      </c>
      <c r="D4" s="13">
        <v>3808272</v>
      </c>
      <c r="E4" s="14">
        <v>0.0563300100412996</v>
      </c>
      <c r="F4" s="13">
        <v>5248034</v>
      </c>
      <c r="G4" s="14">
        <v>-0.233466856350397</v>
      </c>
      <c r="H4" s="14">
        <v>0.00942270763218115</v>
      </c>
      <c r="I4" s="35">
        <v>5058.4529075</v>
      </c>
      <c r="J4" s="35">
        <v>3968.73175275</v>
      </c>
      <c r="K4" s="14">
        <v>0.274576671500893</v>
      </c>
      <c r="L4" s="35">
        <v>6490.936093</v>
      </c>
      <c r="M4" s="14">
        <v>-0.220689768775389</v>
      </c>
      <c r="N4" s="14">
        <v>0.0144355954721893</v>
      </c>
      <c r="O4" s="13">
        <v>9270826</v>
      </c>
      <c r="P4" s="13">
        <v>8403537</v>
      </c>
      <c r="Q4" s="14">
        <v>0.103205233701</v>
      </c>
      <c r="R4" s="14">
        <v>0.0106557216983588</v>
      </c>
      <c r="S4" s="35">
        <v>11549.3890005</v>
      </c>
      <c r="T4" s="35">
        <v>8684.0481545</v>
      </c>
      <c r="U4" s="14">
        <v>0.329954509120865</v>
      </c>
      <c r="V4" s="14">
        <v>0.0161103193319486</v>
      </c>
      <c r="W4" s="39">
        <v>246584</v>
      </c>
      <c r="X4" s="14">
        <v>0.00779426459155087</v>
      </c>
      <c r="Y4" s="39">
        <v>237820</v>
      </c>
      <c r="Z4" s="43">
        <v>0.0368514002186528</v>
      </c>
    </row>
    <row r="5" customFormat="1" spans="1:26">
      <c r="A5" s="11"/>
      <c r="B5" s="12" t="s">
        <v>27</v>
      </c>
      <c r="C5" s="13">
        <v>476</v>
      </c>
      <c r="D5" s="13">
        <v>506</v>
      </c>
      <c r="E5" s="14">
        <v>-0.0592885375494071</v>
      </c>
      <c r="F5" s="13">
        <v>3628</v>
      </c>
      <c r="G5" s="14">
        <v>-0.868798235942668</v>
      </c>
      <c r="H5" s="14">
        <v>1.11494922753109e-6</v>
      </c>
      <c r="I5" s="35">
        <v>0.2428192</v>
      </c>
      <c r="J5" s="35">
        <v>0.2469708</v>
      </c>
      <c r="K5" s="14">
        <v>-0.016810084431034</v>
      </c>
      <c r="L5" s="35">
        <v>1.809747</v>
      </c>
      <c r="M5" s="14">
        <v>-0.865826991286627</v>
      </c>
      <c r="N5" s="14">
        <v>6.92946995490167e-7</v>
      </c>
      <c r="O5" s="13">
        <v>4104</v>
      </c>
      <c r="P5" s="13">
        <v>1236</v>
      </c>
      <c r="Q5" s="14">
        <v>2.32038834951456</v>
      </c>
      <c r="R5" s="14">
        <v>4.71706424541506e-6</v>
      </c>
      <c r="S5" s="35">
        <v>2.0525662</v>
      </c>
      <c r="T5" s="35">
        <v>0.58629</v>
      </c>
      <c r="U5" s="14">
        <v>2.50094014907298</v>
      </c>
      <c r="V5" s="14">
        <v>2.86313820848295e-6</v>
      </c>
      <c r="W5" s="39">
        <v>20</v>
      </c>
      <c r="X5" s="14">
        <v>6.32179264798274e-7</v>
      </c>
      <c r="Y5" s="39">
        <v>9</v>
      </c>
      <c r="Z5" s="43">
        <v>1.22222222222222</v>
      </c>
    </row>
    <row r="6" customFormat="1" spans="1:26">
      <c r="A6" s="11"/>
      <c r="B6" s="12" t="s">
        <v>28</v>
      </c>
      <c r="C6" s="13">
        <v>1375615</v>
      </c>
      <c r="D6" s="13">
        <v>2735202</v>
      </c>
      <c r="E6" s="14">
        <v>-0.497070051864542</v>
      </c>
      <c r="F6" s="13">
        <v>2602578</v>
      </c>
      <c r="G6" s="14">
        <v>-0.471441393879453</v>
      </c>
      <c r="H6" s="14">
        <v>0.00322214470930709</v>
      </c>
      <c r="I6" s="35">
        <v>4572.5792575</v>
      </c>
      <c r="J6" s="35">
        <v>4915.467583</v>
      </c>
      <c r="K6" s="14">
        <v>-0.0697570108458998</v>
      </c>
      <c r="L6" s="35">
        <v>8138.1441226</v>
      </c>
      <c r="M6" s="14">
        <v>-0.438129973048556</v>
      </c>
      <c r="N6" s="14">
        <v>0.0130490301348711</v>
      </c>
      <c r="O6" s="13">
        <v>3978193</v>
      </c>
      <c r="P6" s="13">
        <v>5006211</v>
      </c>
      <c r="Q6" s="14">
        <v>-0.205348516073334</v>
      </c>
      <c r="R6" s="14">
        <v>0.00457246392827984</v>
      </c>
      <c r="S6" s="35">
        <v>12710.7233801</v>
      </c>
      <c r="T6" s="35">
        <v>8619.9008964</v>
      </c>
      <c r="U6" s="14">
        <v>0.474578830182199</v>
      </c>
      <c r="V6" s="14">
        <v>0.0177302723619935</v>
      </c>
      <c r="W6" s="39">
        <v>59400</v>
      </c>
      <c r="X6" s="14">
        <v>0.00187757241645087</v>
      </c>
      <c r="Y6" s="39">
        <v>60517</v>
      </c>
      <c r="Z6" s="43">
        <v>-0.0184576234777005</v>
      </c>
    </row>
    <row r="7" customFormat="1" spans="1:26">
      <c r="A7" s="11"/>
      <c r="B7" s="12" t="s">
        <v>29</v>
      </c>
      <c r="C7" s="13">
        <v>2653153</v>
      </c>
      <c r="D7" s="13">
        <v>5742328</v>
      </c>
      <c r="E7" s="14">
        <v>-0.537965612552958</v>
      </c>
      <c r="F7" s="13">
        <v>3282418</v>
      </c>
      <c r="G7" s="14">
        <v>-0.191707759340827</v>
      </c>
      <c r="H7" s="14">
        <v>0.00621456068880626</v>
      </c>
      <c r="I7" s="35">
        <v>9461.2471255</v>
      </c>
      <c r="J7" s="35">
        <v>18496.9553365</v>
      </c>
      <c r="K7" s="14">
        <v>-0.488497055143441</v>
      </c>
      <c r="L7" s="35">
        <v>11564.666678</v>
      </c>
      <c r="M7" s="14">
        <v>-0.181883283891047</v>
      </c>
      <c r="N7" s="14">
        <v>0.0270001003594658</v>
      </c>
      <c r="O7" s="13">
        <v>5935571</v>
      </c>
      <c r="P7" s="13">
        <v>10942323</v>
      </c>
      <c r="Q7" s="14">
        <v>-0.457558417897187</v>
      </c>
      <c r="R7" s="14">
        <v>0.00682223921545383</v>
      </c>
      <c r="S7" s="35">
        <v>21025.9138035</v>
      </c>
      <c r="T7" s="35">
        <v>33796.0674165</v>
      </c>
      <c r="U7" s="14">
        <v>-0.377859159044207</v>
      </c>
      <c r="V7" s="14">
        <v>0.0293291866440508</v>
      </c>
      <c r="W7" s="39">
        <v>321192</v>
      </c>
      <c r="X7" s="14">
        <v>0.0101525461209544</v>
      </c>
      <c r="Y7" s="39">
        <v>321046</v>
      </c>
      <c r="Z7" s="43">
        <v>0.000454763491836061</v>
      </c>
    </row>
    <row r="8" customFormat="1" spans="1:26">
      <c r="A8" s="11"/>
      <c r="B8" s="12" t="s">
        <v>30</v>
      </c>
      <c r="C8" s="13">
        <v>4309182</v>
      </c>
      <c r="D8" s="13">
        <v>9673000</v>
      </c>
      <c r="E8" s="14">
        <v>-0.554514421585858</v>
      </c>
      <c r="F8" s="13">
        <v>5970762</v>
      </c>
      <c r="G8" s="14">
        <v>-0.278286088107347</v>
      </c>
      <c r="H8" s="14">
        <v>0.0100935276096447</v>
      </c>
      <c r="I8" s="35">
        <v>6175.144555</v>
      </c>
      <c r="J8" s="35">
        <v>15044.0145825</v>
      </c>
      <c r="K8" s="14">
        <v>-0.589528146151676</v>
      </c>
      <c r="L8" s="35">
        <v>8827.228166</v>
      </c>
      <c r="M8" s="14">
        <v>-0.300443532344058</v>
      </c>
      <c r="N8" s="14">
        <v>0.0176223620953562</v>
      </c>
      <c r="O8" s="13">
        <v>10279944</v>
      </c>
      <c r="P8" s="13">
        <v>21055384</v>
      </c>
      <c r="Q8" s="14">
        <v>-0.511766491648882</v>
      </c>
      <c r="R8" s="14">
        <v>0.0118155838906601</v>
      </c>
      <c r="S8" s="35">
        <v>15002.372721</v>
      </c>
      <c r="T8" s="35">
        <v>31505.692322</v>
      </c>
      <c r="U8" s="14">
        <v>-0.523820249126091</v>
      </c>
      <c r="V8" s="14">
        <v>0.020926909229723</v>
      </c>
      <c r="W8" s="39">
        <v>374653</v>
      </c>
      <c r="X8" s="14">
        <v>0.0118423929047234</v>
      </c>
      <c r="Y8" s="39">
        <v>339980</v>
      </c>
      <c r="Z8" s="43">
        <v>0.101985410906524</v>
      </c>
    </row>
    <row r="9" customFormat="1" spans="1:26">
      <c r="A9" s="11"/>
      <c r="B9" s="12" t="s">
        <v>31</v>
      </c>
      <c r="C9" s="13">
        <v>8683263</v>
      </c>
      <c r="D9" s="13">
        <v>8024344</v>
      </c>
      <c r="E9" s="14">
        <v>0.0821149990578669</v>
      </c>
      <c r="F9" s="13">
        <v>10175580</v>
      </c>
      <c r="G9" s="14">
        <v>-0.146656701632732</v>
      </c>
      <c r="H9" s="14">
        <v>0.0203390701140741</v>
      </c>
      <c r="I9" s="35">
        <v>3120.5290284</v>
      </c>
      <c r="J9" s="35">
        <v>2397.4401108</v>
      </c>
      <c r="K9" s="14">
        <v>0.301608751076878</v>
      </c>
      <c r="L9" s="35">
        <v>3528.5655512</v>
      </c>
      <c r="M9" s="14">
        <v>-0.115638073568233</v>
      </c>
      <c r="N9" s="14">
        <v>0.00890523160676599</v>
      </c>
      <c r="O9" s="13">
        <v>18858843</v>
      </c>
      <c r="P9" s="13">
        <v>21236871</v>
      </c>
      <c r="Q9" s="14">
        <v>-0.111976382961501</v>
      </c>
      <c r="R9" s="14">
        <v>0.0216760170626696</v>
      </c>
      <c r="S9" s="35">
        <v>6649.0945796</v>
      </c>
      <c r="T9" s="35">
        <v>5931.5865526</v>
      </c>
      <c r="U9" s="14">
        <v>0.120963931089481</v>
      </c>
      <c r="V9" s="14">
        <v>0.00927486613716511</v>
      </c>
      <c r="W9" s="39">
        <v>715286</v>
      </c>
      <c r="X9" s="14">
        <v>0.0226094488800249</v>
      </c>
      <c r="Y9" s="39">
        <v>706456</v>
      </c>
      <c r="Z9" s="43">
        <v>0.0124990091385734</v>
      </c>
    </row>
    <row r="10" customFormat="1" spans="1:26">
      <c r="A10" s="11"/>
      <c r="B10" s="12" t="s">
        <v>32</v>
      </c>
      <c r="C10" s="13">
        <v>8388643</v>
      </c>
      <c r="D10" s="13">
        <v>8535336</v>
      </c>
      <c r="E10" s="14">
        <v>-0.0171865524684676</v>
      </c>
      <c r="F10" s="13">
        <v>8650562</v>
      </c>
      <c r="G10" s="14">
        <v>-0.0302776860046781</v>
      </c>
      <c r="H10" s="14">
        <v>0.0196489727581598</v>
      </c>
      <c r="I10" s="35">
        <v>4116.6900112</v>
      </c>
      <c r="J10" s="35">
        <v>3928.1355338</v>
      </c>
      <c r="K10" s="14">
        <v>0.0480010111101223</v>
      </c>
      <c r="L10" s="35">
        <v>4083.7123246</v>
      </c>
      <c r="M10" s="14">
        <v>0.00807541863351752</v>
      </c>
      <c r="N10" s="14">
        <v>0.0117480329999663</v>
      </c>
      <c r="O10" s="13">
        <v>17039205</v>
      </c>
      <c r="P10" s="13">
        <v>23425868</v>
      </c>
      <c r="Q10" s="14">
        <v>-0.272632928692333</v>
      </c>
      <c r="R10" s="14">
        <v>0.0195845576695413</v>
      </c>
      <c r="S10" s="35">
        <v>8200.4023358</v>
      </c>
      <c r="T10" s="35">
        <v>10580.4332708</v>
      </c>
      <c r="U10" s="14">
        <v>-0.224946452955612</v>
      </c>
      <c r="V10" s="14">
        <v>0.0114387956171946</v>
      </c>
      <c r="W10" s="39">
        <v>915759</v>
      </c>
      <c r="X10" s="14">
        <v>0.0289461925676201</v>
      </c>
      <c r="Y10" s="39">
        <v>916910</v>
      </c>
      <c r="Z10" s="43">
        <v>-0.00125530313771253</v>
      </c>
    </row>
    <row r="11" customFormat="1" spans="1:26">
      <c r="A11" s="11"/>
      <c r="B11" s="12" t="s">
        <v>33</v>
      </c>
      <c r="C11" s="13">
        <v>7708637</v>
      </c>
      <c r="D11" s="13">
        <v>17485586</v>
      </c>
      <c r="E11" s="14">
        <v>-0.559143342407855</v>
      </c>
      <c r="F11" s="13">
        <v>7942174</v>
      </c>
      <c r="G11" s="14">
        <v>-0.029404669300874</v>
      </c>
      <c r="H11" s="14">
        <v>0.0180561740934192</v>
      </c>
      <c r="I11" s="35">
        <v>2514.3116896</v>
      </c>
      <c r="J11" s="35">
        <v>4057.7280117</v>
      </c>
      <c r="K11" s="14">
        <v>-0.380364656687125</v>
      </c>
      <c r="L11" s="35">
        <v>2397.3820381</v>
      </c>
      <c r="M11" s="14">
        <v>0.0487738915373999</v>
      </c>
      <c r="N11" s="14">
        <v>0.00717523462326754</v>
      </c>
      <c r="O11" s="13">
        <v>15650811</v>
      </c>
      <c r="P11" s="13">
        <v>48548879</v>
      </c>
      <c r="Q11" s="14">
        <v>-0.677627757378291</v>
      </c>
      <c r="R11" s="14">
        <v>0.0179887624219904</v>
      </c>
      <c r="S11" s="35">
        <v>4911.6937277</v>
      </c>
      <c r="T11" s="35">
        <v>10780.0182044</v>
      </c>
      <c r="U11" s="14">
        <v>-0.544370553502847</v>
      </c>
      <c r="V11" s="14">
        <v>0.00685135416345838</v>
      </c>
      <c r="W11" s="39">
        <v>483294</v>
      </c>
      <c r="X11" s="14">
        <v>0.0152764222800708</v>
      </c>
      <c r="Y11" s="39">
        <v>431965</v>
      </c>
      <c r="Z11" s="43">
        <v>0.118826756797426</v>
      </c>
    </row>
    <row r="12" customFormat="1" spans="1:26">
      <c r="A12" s="11"/>
      <c r="B12" s="12" t="s">
        <v>34</v>
      </c>
      <c r="C12" s="13">
        <v>1503774</v>
      </c>
      <c r="D12" s="13">
        <v>1509982</v>
      </c>
      <c r="E12" s="14">
        <v>-0.00411130728710673</v>
      </c>
      <c r="F12" s="13">
        <v>1925160</v>
      </c>
      <c r="G12" s="14">
        <v>-0.218883625257121</v>
      </c>
      <c r="H12" s="14">
        <v>0.00352233541949859</v>
      </c>
      <c r="I12" s="35">
        <v>1150.879023</v>
      </c>
      <c r="J12" s="35">
        <v>1169.6067055</v>
      </c>
      <c r="K12" s="14">
        <v>-0.0160119486421669</v>
      </c>
      <c r="L12" s="35">
        <v>1488.66785125</v>
      </c>
      <c r="M12" s="14">
        <v>-0.226906779753702</v>
      </c>
      <c r="N12" s="14">
        <v>0.00328432908584045</v>
      </c>
      <c r="O12" s="13">
        <v>3428934</v>
      </c>
      <c r="P12" s="13">
        <v>3266994</v>
      </c>
      <c r="Q12" s="14">
        <v>0.0495685024214921</v>
      </c>
      <c r="R12" s="14">
        <v>0.00394115545109358</v>
      </c>
      <c r="S12" s="35">
        <v>2639.54687425</v>
      </c>
      <c r="T12" s="35">
        <v>2492.690765</v>
      </c>
      <c r="U12" s="14">
        <v>0.0589146922321911</v>
      </c>
      <c r="V12" s="14">
        <v>0.00368192144484642</v>
      </c>
      <c r="W12" s="39">
        <v>101224</v>
      </c>
      <c r="X12" s="14">
        <v>0.00319958569499702</v>
      </c>
      <c r="Y12" s="39">
        <v>96567</v>
      </c>
      <c r="Z12" s="43">
        <v>0.0482255843093396</v>
      </c>
    </row>
    <row r="13" customFormat="1" spans="1:26">
      <c r="A13" s="11"/>
      <c r="B13" s="12" t="s">
        <v>35</v>
      </c>
      <c r="C13" s="13">
        <v>6393765</v>
      </c>
      <c r="D13" s="13">
        <v>11939690</v>
      </c>
      <c r="E13" s="14">
        <v>-0.464494890570861</v>
      </c>
      <c r="F13" s="13">
        <v>9839931</v>
      </c>
      <c r="G13" s="14">
        <v>-0.350222577780271</v>
      </c>
      <c r="H13" s="14">
        <v>0.0149763095541288</v>
      </c>
      <c r="I13" s="35">
        <v>11144.5331408</v>
      </c>
      <c r="J13" s="35">
        <v>16427.3883879</v>
      </c>
      <c r="K13" s="14">
        <v>-0.321588259944668</v>
      </c>
      <c r="L13" s="35">
        <v>16150.5210712</v>
      </c>
      <c r="M13" s="14">
        <v>-0.30995829226382</v>
      </c>
      <c r="N13" s="14">
        <v>0.0318037896346663</v>
      </c>
      <c r="O13" s="13">
        <v>16233696</v>
      </c>
      <c r="P13" s="13">
        <v>31458154</v>
      </c>
      <c r="Q13" s="14">
        <v>-0.483959039681731</v>
      </c>
      <c r="R13" s="14">
        <v>0.0186587200225481</v>
      </c>
      <c r="S13" s="35">
        <v>27295.054212</v>
      </c>
      <c r="T13" s="35">
        <v>42203.8500152</v>
      </c>
      <c r="U13" s="14">
        <v>-0.353256771546447</v>
      </c>
      <c r="V13" s="14">
        <v>0.0380740521874475</v>
      </c>
      <c r="W13" s="39">
        <v>276987</v>
      </c>
      <c r="X13" s="14">
        <v>0.00875527190093397</v>
      </c>
      <c r="Y13" s="39">
        <v>250607</v>
      </c>
      <c r="Z13" s="43">
        <v>0.105264417993113</v>
      </c>
    </row>
    <row r="14" customFormat="1" spans="1:26">
      <c r="A14" s="11"/>
      <c r="B14" s="12" t="s">
        <v>36</v>
      </c>
      <c r="C14" s="13">
        <v>30423132</v>
      </c>
      <c r="D14" s="13">
        <v>25561138</v>
      </c>
      <c r="E14" s="14">
        <v>0.19021038891148</v>
      </c>
      <c r="F14" s="13">
        <v>27640801</v>
      </c>
      <c r="G14" s="14">
        <v>0.10066028839034</v>
      </c>
      <c r="H14" s="14">
        <v>0.0712610242068829</v>
      </c>
      <c r="I14" s="35">
        <v>14465.7884285</v>
      </c>
      <c r="J14" s="35">
        <v>11317.7903931</v>
      </c>
      <c r="K14" s="14">
        <v>0.278145991934893</v>
      </c>
      <c r="L14" s="35">
        <v>12695.5023133</v>
      </c>
      <c r="M14" s="14">
        <v>0.139441990676133</v>
      </c>
      <c r="N14" s="14">
        <v>0.0412818452120982</v>
      </c>
      <c r="O14" s="13">
        <v>58063933</v>
      </c>
      <c r="P14" s="13">
        <v>67830569</v>
      </c>
      <c r="Q14" s="14">
        <v>-0.143985759576925</v>
      </c>
      <c r="R14" s="14">
        <v>0.0667376467598625</v>
      </c>
      <c r="S14" s="35">
        <v>27161.2907418</v>
      </c>
      <c r="T14" s="35">
        <v>29657.2131178</v>
      </c>
      <c r="U14" s="14">
        <v>-0.0841590329504686</v>
      </c>
      <c r="V14" s="14">
        <v>0.0378874646355191</v>
      </c>
      <c r="W14" s="39">
        <v>2992648</v>
      </c>
      <c r="X14" s="14">
        <v>0.0945945006220012</v>
      </c>
      <c r="Y14" s="39">
        <v>2093075</v>
      </c>
      <c r="Z14" s="43">
        <v>0.429785363639621</v>
      </c>
    </row>
    <row r="15" customFormat="1" spans="1:26">
      <c r="A15" s="11"/>
      <c r="B15" s="12" t="s">
        <v>37</v>
      </c>
      <c r="C15" s="13">
        <v>8471245</v>
      </c>
      <c r="D15" s="13">
        <v>6422553</v>
      </c>
      <c r="E15" s="14">
        <v>0.318984055094602</v>
      </c>
      <c r="F15" s="13">
        <v>9050603</v>
      </c>
      <c r="G15" s="14">
        <v>-0.0640131933750712</v>
      </c>
      <c r="H15" s="14">
        <v>0.0198424539264214</v>
      </c>
      <c r="I15" s="35">
        <v>9623.002998</v>
      </c>
      <c r="J15" s="35">
        <v>5220.46451125</v>
      </c>
      <c r="K15" s="14">
        <v>0.843323132886473</v>
      </c>
      <c r="L15" s="35">
        <v>9608.39173225</v>
      </c>
      <c r="M15" s="14">
        <v>0.00152067756573227</v>
      </c>
      <c r="N15" s="14">
        <v>0.0274617123154058</v>
      </c>
      <c r="O15" s="13">
        <v>17521848</v>
      </c>
      <c r="P15" s="13">
        <v>12430192</v>
      </c>
      <c r="Q15" s="14">
        <v>0.40962006057509</v>
      </c>
      <c r="R15" s="14">
        <v>0.0201392989070169</v>
      </c>
      <c r="S15" s="35">
        <v>19231.39473025</v>
      </c>
      <c r="T15" s="35">
        <v>9728.89258225</v>
      </c>
      <c r="U15" s="14">
        <v>0.976730092111096</v>
      </c>
      <c r="V15" s="14">
        <v>0.0268260000844779</v>
      </c>
      <c r="W15" s="39">
        <v>469856</v>
      </c>
      <c r="X15" s="14">
        <v>0.0148516610320529</v>
      </c>
      <c r="Y15" s="39">
        <v>459313</v>
      </c>
      <c r="Z15" s="43">
        <v>0.0229538462878255</v>
      </c>
    </row>
    <row r="16" customFormat="1" spans="1:26">
      <c r="A16" s="11"/>
      <c r="B16" s="12" t="s">
        <v>38</v>
      </c>
      <c r="C16" s="13">
        <v>2795241</v>
      </c>
      <c r="D16" s="13">
        <v>3166086</v>
      </c>
      <c r="E16" s="14">
        <v>-0.117130425389582</v>
      </c>
      <c r="F16" s="13">
        <v>2936332</v>
      </c>
      <c r="G16" s="14">
        <v>-0.0480500842547777</v>
      </c>
      <c r="H16" s="14">
        <v>0.00654737771788491</v>
      </c>
      <c r="I16" s="35">
        <v>10757.8378458</v>
      </c>
      <c r="J16" s="35">
        <v>12052.479222</v>
      </c>
      <c r="K16" s="14">
        <v>-0.107417017889301</v>
      </c>
      <c r="L16" s="35">
        <v>10979.4687354</v>
      </c>
      <c r="M16" s="14">
        <v>-0.0201859393146608</v>
      </c>
      <c r="N16" s="14">
        <v>0.0307002552237118</v>
      </c>
      <c r="O16" s="13">
        <v>5731573</v>
      </c>
      <c r="P16" s="13">
        <v>7139059</v>
      </c>
      <c r="Q16" s="14">
        <v>-0.197152874069258</v>
      </c>
      <c r="R16" s="14">
        <v>0.00658776756049862</v>
      </c>
      <c r="S16" s="35">
        <v>21737.3065812</v>
      </c>
      <c r="T16" s="35">
        <v>27609.8408912</v>
      </c>
      <c r="U16" s="14">
        <v>-0.212697144222651</v>
      </c>
      <c r="V16" s="14">
        <v>0.0303215131488289</v>
      </c>
      <c r="W16" s="39">
        <v>226569</v>
      </c>
      <c r="X16" s="14">
        <v>0.007161611192304</v>
      </c>
      <c r="Y16" s="39">
        <v>177356</v>
      </c>
      <c r="Z16" s="43">
        <v>0.277481449739507</v>
      </c>
    </row>
    <row r="17" customFormat="1" spans="1:26">
      <c r="A17" s="11"/>
      <c r="B17" s="12" t="s">
        <v>39</v>
      </c>
      <c r="C17" s="13">
        <v>2117955</v>
      </c>
      <c r="D17" s="13">
        <v>2399195</v>
      </c>
      <c r="E17" s="14">
        <v>-0.117222651764446</v>
      </c>
      <c r="F17" s="13">
        <v>3122070</v>
      </c>
      <c r="G17" s="14">
        <v>-0.321618349364364</v>
      </c>
      <c r="H17" s="14">
        <v>0.00496095019158739</v>
      </c>
      <c r="I17" s="35">
        <v>1949.8525995</v>
      </c>
      <c r="J17" s="35">
        <v>1782.46863025</v>
      </c>
      <c r="K17" s="14">
        <v>0.0939057026919591</v>
      </c>
      <c r="L17" s="35">
        <v>2754.60671275</v>
      </c>
      <c r="M17" s="14">
        <v>-0.292148461529955</v>
      </c>
      <c r="N17" s="14">
        <v>0.00556440553495036</v>
      </c>
      <c r="O17" s="13">
        <v>5240025</v>
      </c>
      <c r="P17" s="13">
        <v>5811338</v>
      </c>
      <c r="Q17" s="14">
        <v>-0.0983100621578026</v>
      </c>
      <c r="R17" s="14">
        <v>0.00602279107519031</v>
      </c>
      <c r="S17" s="35">
        <v>4704.45931225</v>
      </c>
      <c r="T17" s="35">
        <v>4206.19661775</v>
      </c>
      <c r="U17" s="14">
        <v>0.118459201930159</v>
      </c>
      <c r="V17" s="14">
        <v>0.00656228150261678</v>
      </c>
      <c r="W17" s="39">
        <v>98482</v>
      </c>
      <c r="X17" s="14">
        <v>0.00311291391779318</v>
      </c>
      <c r="Y17" s="39">
        <v>105551</v>
      </c>
      <c r="Z17" s="43">
        <v>-0.0669723640704494</v>
      </c>
    </row>
    <row r="18" customFormat="1" spans="1:26">
      <c r="A18" s="11"/>
      <c r="B18" s="12" t="s">
        <v>40</v>
      </c>
      <c r="C18" s="13">
        <v>9749429</v>
      </c>
      <c r="D18" s="13">
        <v>24743151</v>
      </c>
      <c r="E18" s="14">
        <v>-0.605974639204198</v>
      </c>
      <c r="F18" s="13">
        <v>12507643</v>
      </c>
      <c r="G18" s="14">
        <v>-0.22052228385476</v>
      </c>
      <c r="H18" s="14">
        <v>0.0228363830513008</v>
      </c>
      <c r="I18" s="35">
        <v>7173.3830973</v>
      </c>
      <c r="J18" s="35">
        <v>21104.13806775</v>
      </c>
      <c r="K18" s="14">
        <v>-0.660095898052245</v>
      </c>
      <c r="L18" s="35">
        <v>9037.8656397</v>
      </c>
      <c r="M18" s="14">
        <v>-0.206296775890318</v>
      </c>
      <c r="N18" s="14">
        <v>0.0204710923385547</v>
      </c>
      <c r="O18" s="13">
        <v>22257072</v>
      </c>
      <c r="P18" s="13">
        <v>56458431</v>
      </c>
      <c r="Q18" s="14">
        <v>-0.605779480481843</v>
      </c>
      <c r="R18" s="14">
        <v>0.025581880735582</v>
      </c>
      <c r="S18" s="35">
        <v>16211.248737</v>
      </c>
      <c r="T18" s="35">
        <v>46698.0161316</v>
      </c>
      <c r="U18" s="14">
        <v>-0.65284930538987</v>
      </c>
      <c r="V18" s="14">
        <v>0.022613178403759</v>
      </c>
      <c r="W18" s="39">
        <v>637645</v>
      </c>
      <c r="X18" s="14">
        <v>0.0201552973651148</v>
      </c>
      <c r="Y18" s="39">
        <v>633441</v>
      </c>
      <c r="Z18" s="43">
        <v>0.00663676648653939</v>
      </c>
    </row>
    <row r="19" customFormat="1" spans="1:26">
      <c r="A19" s="11"/>
      <c r="B19" s="12" t="s">
        <v>41</v>
      </c>
      <c r="C19" s="13">
        <v>341789</v>
      </c>
      <c r="D19" s="13">
        <v>234526</v>
      </c>
      <c r="E19" s="14">
        <v>0.457360804345787</v>
      </c>
      <c r="F19" s="13">
        <v>426446</v>
      </c>
      <c r="G19" s="14">
        <v>-0.198517514527044</v>
      </c>
      <c r="H19" s="14">
        <v>0.000800582734303828</v>
      </c>
      <c r="I19" s="35">
        <v>3.8152459</v>
      </c>
      <c r="J19" s="35">
        <v>3.3272448</v>
      </c>
      <c r="K19" s="14">
        <v>0.146668228319119</v>
      </c>
      <c r="L19" s="35">
        <v>5.6874789</v>
      </c>
      <c r="M19" s="14">
        <v>-0.329185045416168</v>
      </c>
      <c r="N19" s="14">
        <v>1.0887784752858e-5</v>
      </c>
      <c r="O19" s="13">
        <v>768235</v>
      </c>
      <c r="P19" s="13">
        <v>524500</v>
      </c>
      <c r="Q19" s="14">
        <v>0.464699714013346</v>
      </c>
      <c r="R19" s="14">
        <v>0.000882995577625838</v>
      </c>
      <c r="S19" s="35">
        <v>9.5027248</v>
      </c>
      <c r="T19" s="35">
        <v>6.2342994</v>
      </c>
      <c r="U19" s="14">
        <v>0.524265068180716</v>
      </c>
      <c r="V19" s="14">
        <v>1.32554138617203e-5</v>
      </c>
      <c r="W19" s="39">
        <v>19682</v>
      </c>
      <c r="X19" s="14">
        <v>0.000622127614487981</v>
      </c>
      <c r="Y19" s="39">
        <v>20310</v>
      </c>
      <c r="Z19" s="43">
        <v>-0.0309207287050714</v>
      </c>
    </row>
    <row r="20" customFormat="1" spans="1:26">
      <c r="A20" s="11"/>
      <c r="B20" s="12" t="s">
        <v>42</v>
      </c>
      <c r="C20" s="13">
        <v>670020</v>
      </c>
      <c r="D20" s="13">
        <v>545718</v>
      </c>
      <c r="E20" s="14">
        <v>0.227776983716865</v>
      </c>
      <c r="F20" s="13">
        <v>840667</v>
      </c>
      <c r="G20" s="14">
        <v>-0.202990006744644</v>
      </c>
      <c r="H20" s="14">
        <v>0.0015694081542655</v>
      </c>
      <c r="I20" s="35">
        <v>15.1663187</v>
      </c>
      <c r="J20" s="35">
        <v>25.6682653</v>
      </c>
      <c r="K20" s="14">
        <v>-0.409141267524611</v>
      </c>
      <c r="L20" s="35">
        <v>16.7903595</v>
      </c>
      <c r="M20" s="14">
        <v>-0.0967245996132483</v>
      </c>
      <c r="N20" s="14">
        <v>4.32809883889385e-5</v>
      </c>
      <c r="O20" s="13">
        <v>1510687</v>
      </c>
      <c r="P20" s="13">
        <v>1031673</v>
      </c>
      <c r="Q20" s="14">
        <v>0.464307973553636</v>
      </c>
      <c r="R20" s="14">
        <v>0.00173635663589506</v>
      </c>
      <c r="S20" s="35">
        <v>31.9566782</v>
      </c>
      <c r="T20" s="35">
        <v>39.8968442</v>
      </c>
      <c r="U20" s="14">
        <v>-0.199017394964788</v>
      </c>
      <c r="V20" s="14">
        <v>4.45765824121114e-5</v>
      </c>
      <c r="W20" s="39">
        <v>33673</v>
      </c>
      <c r="X20" s="14">
        <v>0.00106436861917761</v>
      </c>
      <c r="Y20" s="39">
        <v>36823</v>
      </c>
      <c r="Z20" s="43">
        <v>-0.0855443608614181</v>
      </c>
    </row>
    <row r="21" customFormat="1" spans="1:26">
      <c r="A21" s="11"/>
      <c r="B21" s="12" t="s">
        <v>43</v>
      </c>
      <c r="C21" s="13">
        <v>289929</v>
      </c>
      <c r="D21" s="13">
        <v>403762</v>
      </c>
      <c r="E21" s="14">
        <v>-0.281930939513872</v>
      </c>
      <c r="F21" s="13">
        <v>273728</v>
      </c>
      <c r="G21" s="14">
        <v>0.0591864916997896</v>
      </c>
      <c r="H21" s="14">
        <v>0.000679109484430378</v>
      </c>
      <c r="I21" s="35">
        <v>9.0162577</v>
      </c>
      <c r="J21" s="35">
        <v>28.394771</v>
      </c>
      <c r="K21" s="14">
        <v>-0.682467673361409</v>
      </c>
      <c r="L21" s="35">
        <v>11.648618</v>
      </c>
      <c r="M21" s="14">
        <v>-0.225980481118018</v>
      </c>
      <c r="N21" s="14">
        <v>2.57302086646364e-5</v>
      </c>
      <c r="O21" s="13">
        <v>563657</v>
      </c>
      <c r="P21" s="13">
        <v>720480</v>
      </c>
      <c r="Q21" s="14">
        <v>-0.217664612480569</v>
      </c>
      <c r="R21" s="14">
        <v>0.000647857281037504</v>
      </c>
      <c r="S21" s="35">
        <v>20.6648757</v>
      </c>
      <c r="T21" s="35">
        <v>46.2352917</v>
      </c>
      <c r="U21" s="14">
        <v>-0.553049738842677</v>
      </c>
      <c r="V21" s="14">
        <v>2.88255721984611e-5</v>
      </c>
      <c r="W21" s="39">
        <v>62071</v>
      </c>
      <c r="X21" s="14">
        <v>0.00196199995726468</v>
      </c>
      <c r="Y21" s="39">
        <v>57568</v>
      </c>
      <c r="Z21" s="43">
        <v>0.078220539188438</v>
      </c>
    </row>
    <row r="22" customFormat="1" spans="1:26">
      <c r="A22" s="11"/>
      <c r="B22" s="12" t="s">
        <v>44</v>
      </c>
      <c r="C22" s="13">
        <v>700888</v>
      </c>
      <c r="D22" s="13">
        <v>279648</v>
      </c>
      <c r="E22" s="14">
        <v>1.50632223366518</v>
      </c>
      <c r="F22" s="13">
        <v>842924</v>
      </c>
      <c r="G22" s="14">
        <v>-0.168503922061775</v>
      </c>
      <c r="H22" s="14">
        <v>0.0016417112062727</v>
      </c>
      <c r="I22" s="35">
        <v>7.48461135</v>
      </c>
      <c r="J22" s="35">
        <v>3.2978102</v>
      </c>
      <c r="K22" s="14">
        <v>1.26957007713785</v>
      </c>
      <c r="L22" s="35">
        <v>9.07487485</v>
      </c>
      <c r="M22" s="14">
        <v>-0.175238064026855</v>
      </c>
      <c r="N22" s="14">
        <v>2.1359262148109e-5</v>
      </c>
      <c r="O22" s="13">
        <v>1543812</v>
      </c>
      <c r="P22" s="13">
        <v>599364</v>
      </c>
      <c r="Q22" s="14">
        <v>1.57575029531303</v>
      </c>
      <c r="R22" s="14">
        <v>0.00177442991882132</v>
      </c>
      <c r="S22" s="35">
        <v>16.5594862</v>
      </c>
      <c r="T22" s="35">
        <v>5.4808536</v>
      </c>
      <c r="U22" s="14">
        <v>2.02133342879292</v>
      </c>
      <c r="V22" s="14">
        <v>2.30989371509997e-5</v>
      </c>
      <c r="W22" s="39">
        <v>41522</v>
      </c>
      <c r="X22" s="14">
        <v>0.0013124673716477</v>
      </c>
      <c r="Y22" s="39">
        <v>35540</v>
      </c>
      <c r="Z22" s="43">
        <v>0.168317388857625</v>
      </c>
    </row>
    <row r="23" customFormat="1" spans="1:26">
      <c r="A23" s="11"/>
      <c r="B23" s="12" t="s">
        <v>45</v>
      </c>
      <c r="C23" s="13">
        <v>298263</v>
      </c>
      <c r="D23" s="13">
        <v>200564</v>
      </c>
      <c r="E23" s="14">
        <v>0.487121317883568</v>
      </c>
      <c r="F23" s="13">
        <v>284236</v>
      </c>
      <c r="G23" s="14">
        <v>0.0493498360517317</v>
      </c>
      <c r="H23" s="14">
        <v>0.000698630465233412</v>
      </c>
      <c r="I23" s="35">
        <v>12.6056758</v>
      </c>
      <c r="J23" s="35">
        <v>11.2798718</v>
      </c>
      <c r="K23" s="14">
        <v>0.117537151441739</v>
      </c>
      <c r="L23" s="35">
        <v>11.1056686</v>
      </c>
      <c r="M23" s="14">
        <v>0.13506680723392</v>
      </c>
      <c r="N23" s="14">
        <v>3.59735357489569e-5</v>
      </c>
      <c r="O23" s="13">
        <v>582499</v>
      </c>
      <c r="P23" s="13">
        <v>510512</v>
      </c>
      <c r="Q23" s="14">
        <v>0.141009417996051</v>
      </c>
      <c r="R23" s="14">
        <v>0.000669513939057024</v>
      </c>
      <c r="S23" s="35">
        <v>23.7113444</v>
      </c>
      <c r="T23" s="35">
        <v>26.2566426</v>
      </c>
      <c r="U23" s="14">
        <v>-0.0969392103467181</v>
      </c>
      <c r="V23" s="14">
        <v>3.30751115974424e-5</v>
      </c>
      <c r="W23" s="39">
        <v>31856</v>
      </c>
      <c r="X23" s="14">
        <v>0.00100693513297069</v>
      </c>
      <c r="Y23" s="39">
        <v>21469</v>
      </c>
      <c r="Z23" s="43">
        <v>0.483813871163072</v>
      </c>
    </row>
    <row r="24" customFormat="1" spans="1:26">
      <c r="A24" s="11"/>
      <c r="B24" s="71" t="s">
        <v>46</v>
      </c>
      <c r="C24" s="72">
        <v>105459661</v>
      </c>
      <c r="D24" s="16">
        <v>143288148</v>
      </c>
      <c r="E24" s="73">
        <v>-0.264002902738334</v>
      </c>
      <c r="F24" s="16">
        <v>120691922</v>
      </c>
      <c r="G24" s="73">
        <v>-0.126207792100618</v>
      </c>
      <c r="H24" s="73">
        <v>0.247021360436219</v>
      </c>
      <c r="I24" s="83">
        <v>94289.11729985</v>
      </c>
      <c r="J24" s="83">
        <v>128723.3565439</v>
      </c>
      <c r="K24" s="73">
        <v>-0.267505759394228</v>
      </c>
      <c r="L24" s="83">
        <v>112179.1384024</v>
      </c>
      <c r="M24" s="73">
        <v>-0.159477255373244</v>
      </c>
      <c r="N24" s="73">
        <v>0.26907822997667</v>
      </c>
      <c r="O24" s="72">
        <v>226151583</v>
      </c>
      <c r="P24" s="72">
        <v>348879011</v>
      </c>
      <c r="Q24" s="73">
        <v>-0.351776473019181</v>
      </c>
      <c r="R24" s="73">
        <v>0.259934587283946</v>
      </c>
      <c r="S24" s="86">
        <v>206468.25570225</v>
      </c>
      <c r="T24" s="86">
        <v>287285.2642775</v>
      </c>
      <c r="U24" s="73">
        <v>-0.281312752947836</v>
      </c>
      <c r="V24" s="73">
        <v>0.288003939526989</v>
      </c>
      <c r="W24" s="87">
        <v>8488588</v>
      </c>
      <c r="X24" s="73">
        <v>0.268315466050772</v>
      </c>
      <c r="Y24" s="87">
        <v>7328348</v>
      </c>
      <c r="Z24" s="89">
        <v>0.158322175748204</v>
      </c>
    </row>
    <row r="25" customFormat="1" spans="1:26">
      <c r="A25" s="18" t="s">
        <v>47</v>
      </c>
      <c r="B25" s="12" t="s">
        <v>48</v>
      </c>
      <c r="C25" s="13">
        <v>3476357</v>
      </c>
      <c r="D25" s="13">
        <v>2438522</v>
      </c>
      <c r="E25" s="14">
        <v>0.425600015091108</v>
      </c>
      <c r="F25" s="13">
        <v>3304200</v>
      </c>
      <c r="G25" s="14">
        <v>0.052102475637068</v>
      </c>
      <c r="H25" s="19">
        <v>0.0081427763692695</v>
      </c>
      <c r="I25" s="35">
        <v>20059.253689</v>
      </c>
      <c r="J25" s="35">
        <v>9285.692588</v>
      </c>
      <c r="K25" s="14">
        <v>1.16023236811897</v>
      </c>
      <c r="L25" s="35">
        <v>17394.634596</v>
      </c>
      <c r="M25" s="14">
        <v>0.153186264321571</v>
      </c>
      <c r="N25" s="19">
        <v>0.0572442359400229</v>
      </c>
      <c r="O25" s="13">
        <v>6780557</v>
      </c>
      <c r="P25" s="13">
        <v>6126527</v>
      </c>
      <c r="Q25" s="14">
        <v>0.106753793788879</v>
      </c>
      <c r="R25" s="19">
        <v>0.00779345102063811</v>
      </c>
      <c r="S25" s="35">
        <v>37453.888285</v>
      </c>
      <c r="T25" s="35">
        <v>21608.416696</v>
      </c>
      <c r="U25" s="14">
        <v>0.733300908249016</v>
      </c>
      <c r="V25" s="19">
        <v>0.0522446772265058</v>
      </c>
      <c r="W25" s="39">
        <v>75117</v>
      </c>
      <c r="X25" s="14">
        <v>0.0023743704916926</v>
      </c>
      <c r="Y25" s="39">
        <v>61565</v>
      </c>
      <c r="Z25" s="43">
        <v>0.220125071063104</v>
      </c>
    </row>
    <row r="26" customFormat="1" spans="1:26">
      <c r="A26" s="20"/>
      <c r="B26" s="12" t="s">
        <v>49</v>
      </c>
      <c r="C26" s="13">
        <v>305417</v>
      </c>
      <c r="D26" s="13">
        <v>396960</v>
      </c>
      <c r="E26" s="14">
        <v>-0.230610137041516</v>
      </c>
      <c r="F26" s="13">
        <v>301314</v>
      </c>
      <c r="G26" s="14">
        <v>0.0136170241011038</v>
      </c>
      <c r="H26" s="19">
        <v>0.000715387496270717</v>
      </c>
      <c r="I26" s="35">
        <v>970.580943</v>
      </c>
      <c r="J26" s="35">
        <v>1113.9421335</v>
      </c>
      <c r="K26" s="14">
        <v>-0.128697161359325</v>
      </c>
      <c r="L26" s="35">
        <v>946.2695125</v>
      </c>
      <c r="M26" s="14">
        <v>0.0256918670408923</v>
      </c>
      <c r="N26" s="19">
        <v>0.00276980217516516</v>
      </c>
      <c r="O26" s="13">
        <v>606731</v>
      </c>
      <c r="P26" s="13">
        <v>744721</v>
      </c>
      <c r="Q26" s="14">
        <v>-0.185290867318096</v>
      </c>
      <c r="R26" s="19">
        <v>0.000697365766736093</v>
      </c>
      <c r="S26" s="35">
        <v>1916.8504555</v>
      </c>
      <c r="T26" s="35">
        <v>2024.7887395</v>
      </c>
      <c r="U26" s="14">
        <v>-0.0533084177595013</v>
      </c>
      <c r="V26" s="19">
        <v>0.00267382741618273</v>
      </c>
      <c r="W26" s="39">
        <v>18227</v>
      </c>
      <c r="X26" s="14">
        <v>0.000576136572973907</v>
      </c>
      <c r="Y26" s="39">
        <v>15018</v>
      </c>
      <c r="Z26" s="43">
        <v>0.2136769210281</v>
      </c>
    </row>
    <row r="27" customFormat="1" spans="1:26">
      <c r="A27" s="20"/>
      <c r="B27" s="12" t="s">
        <v>50</v>
      </c>
      <c r="C27" s="13">
        <v>1576405</v>
      </c>
      <c r="D27" s="13">
        <v>1112143</v>
      </c>
      <c r="E27" s="14">
        <v>0.417448115934731</v>
      </c>
      <c r="F27" s="13">
        <v>1437711</v>
      </c>
      <c r="G27" s="14">
        <v>0.0964686226925996</v>
      </c>
      <c r="H27" s="19">
        <v>0.00369246121223979</v>
      </c>
      <c r="I27" s="35">
        <v>675.7188575</v>
      </c>
      <c r="J27" s="35">
        <v>345.5439565</v>
      </c>
      <c r="K27" s="14">
        <v>0.955522140639725</v>
      </c>
      <c r="L27" s="35">
        <v>560.7652219</v>
      </c>
      <c r="M27" s="14">
        <v>0.204994231294357</v>
      </c>
      <c r="N27" s="19">
        <v>0.0019283374300742</v>
      </c>
      <c r="O27" s="13">
        <v>3014116</v>
      </c>
      <c r="P27" s="13">
        <v>2794808</v>
      </c>
      <c r="Q27" s="14">
        <v>0.0784697911269755</v>
      </c>
      <c r="R27" s="19">
        <v>0.00346437105631907</v>
      </c>
      <c r="S27" s="35">
        <v>1236.4840794</v>
      </c>
      <c r="T27" s="35">
        <v>816.6541181</v>
      </c>
      <c r="U27" s="14">
        <v>0.514085402859123</v>
      </c>
      <c r="V27" s="19">
        <v>0.00172477984481622</v>
      </c>
      <c r="W27" s="39">
        <v>85376</v>
      </c>
      <c r="X27" s="14">
        <v>0.00269864684557087</v>
      </c>
      <c r="Y27" s="39">
        <v>83947</v>
      </c>
      <c r="Z27" s="43">
        <v>0.0170226452404493</v>
      </c>
    </row>
    <row r="28" customFormat="1" spans="1:26">
      <c r="A28" s="20"/>
      <c r="B28" s="12" t="s">
        <v>51</v>
      </c>
      <c r="C28" s="13">
        <v>825745</v>
      </c>
      <c r="D28" s="13">
        <v>714454</v>
      </c>
      <c r="E28" s="14">
        <v>0.15577070042298</v>
      </c>
      <c r="F28" s="13">
        <v>778557</v>
      </c>
      <c r="G28" s="14">
        <v>0.0606095635900775</v>
      </c>
      <c r="H28" s="19">
        <v>0.00193416754178079</v>
      </c>
      <c r="I28" s="35">
        <v>978.4529815</v>
      </c>
      <c r="J28" s="35">
        <v>826.9149965</v>
      </c>
      <c r="K28" s="14">
        <v>0.183257028402435</v>
      </c>
      <c r="L28" s="35">
        <v>922.0722415</v>
      </c>
      <c r="M28" s="14">
        <v>0.0611456862732159</v>
      </c>
      <c r="N28" s="19">
        <v>0.00279226706026056</v>
      </c>
      <c r="O28" s="13">
        <v>1604302</v>
      </c>
      <c r="P28" s="13">
        <v>1247872</v>
      </c>
      <c r="Q28" s="14">
        <v>0.285630256949431</v>
      </c>
      <c r="R28" s="19">
        <v>0.00184395604362765</v>
      </c>
      <c r="S28" s="35">
        <v>1900.525223</v>
      </c>
      <c r="T28" s="35">
        <v>1400.6207735</v>
      </c>
      <c r="U28" s="14">
        <v>0.356916346635923</v>
      </c>
      <c r="V28" s="19">
        <v>0.00265105524107183</v>
      </c>
      <c r="W28" s="39">
        <v>74281</v>
      </c>
      <c r="X28" s="14">
        <v>0.00234794539842403</v>
      </c>
      <c r="Y28" s="39">
        <v>58823</v>
      </c>
      <c r="Z28" s="43">
        <v>0.262788365095286</v>
      </c>
    </row>
    <row r="29" customFormat="1" spans="1:26">
      <c r="A29" s="20"/>
      <c r="B29" s="12" t="s">
        <v>52</v>
      </c>
      <c r="C29" s="13">
        <v>272178</v>
      </c>
      <c r="D29" s="13">
        <v>0</v>
      </c>
      <c r="E29" s="14">
        <v>0</v>
      </c>
      <c r="F29" s="13">
        <v>252236</v>
      </c>
      <c r="G29" s="14">
        <v>0.0790608794938074</v>
      </c>
      <c r="H29" s="19">
        <v>0.000637530779098646</v>
      </c>
      <c r="I29" s="35">
        <v>27.073511</v>
      </c>
      <c r="J29" s="35">
        <v>0</v>
      </c>
      <c r="K29" s="14">
        <v>0</v>
      </c>
      <c r="L29" s="35">
        <v>20.5861505</v>
      </c>
      <c r="M29" s="14">
        <v>0.315132277887505</v>
      </c>
      <c r="N29" s="19">
        <v>7.72612219495822e-5</v>
      </c>
      <c r="O29" s="13">
        <v>524414</v>
      </c>
      <c r="P29" s="13">
        <v>0</v>
      </c>
      <c r="Q29" s="14">
        <v>0</v>
      </c>
      <c r="R29" s="19">
        <v>0.000602752078263912</v>
      </c>
      <c r="S29" s="35">
        <v>47.6596615</v>
      </c>
      <c r="T29" s="35">
        <v>0</v>
      </c>
      <c r="U29" s="14">
        <v>0</v>
      </c>
      <c r="V29" s="19">
        <v>6.648077798612e-5</v>
      </c>
      <c r="W29" s="39">
        <v>20269</v>
      </c>
      <c r="X29" s="14">
        <v>0.00064068207590981</v>
      </c>
      <c r="Y29" s="39">
        <v>18774</v>
      </c>
      <c r="Z29" s="43">
        <v>0.0796314051347608</v>
      </c>
    </row>
    <row r="30" customFormat="1" spans="1:26">
      <c r="A30" s="74"/>
      <c r="B30" s="75" t="s">
        <v>46</v>
      </c>
      <c r="C30" s="76">
        <v>6456102</v>
      </c>
      <c r="D30" s="76">
        <v>4662079</v>
      </c>
      <c r="E30" s="77">
        <v>0.384811797483483</v>
      </c>
      <c r="F30" s="76">
        <v>6074018</v>
      </c>
      <c r="G30" s="77">
        <v>0.0629046538880853</v>
      </c>
      <c r="H30" s="77">
        <v>0.0151223233986594</v>
      </c>
      <c r="I30" s="84">
        <v>22711.079982</v>
      </c>
      <c r="J30" s="84">
        <v>11572.0936745</v>
      </c>
      <c r="K30" s="77">
        <v>0.962573119507805</v>
      </c>
      <c r="L30" s="84">
        <v>19844.3277224</v>
      </c>
      <c r="M30" s="77">
        <v>0.144462049795925</v>
      </c>
      <c r="N30" s="77">
        <v>0.0648119038274724</v>
      </c>
      <c r="O30" s="76">
        <v>12530120</v>
      </c>
      <c r="P30" s="76">
        <v>10913928</v>
      </c>
      <c r="Q30" s="77">
        <v>0.148085272323585</v>
      </c>
      <c r="R30" s="77">
        <v>0.0144018959655848</v>
      </c>
      <c r="S30" s="86">
        <v>42555.4077044</v>
      </c>
      <c r="T30" s="86">
        <v>25850.4803271</v>
      </c>
      <c r="U30" s="77">
        <v>0.646213422958629</v>
      </c>
      <c r="V30" s="77">
        <v>0.0593608205065627</v>
      </c>
      <c r="W30" s="76">
        <v>273270</v>
      </c>
      <c r="X30" s="77">
        <v>0.00863778138457121</v>
      </c>
      <c r="Y30" s="76">
        <v>238127</v>
      </c>
      <c r="Z30" s="90">
        <v>0.147580912706245</v>
      </c>
    </row>
    <row r="31" customFormat="1" spans="1:26">
      <c r="A31" s="23" t="s">
        <v>53</v>
      </c>
      <c r="B31" s="24" t="s">
        <v>54</v>
      </c>
      <c r="C31" s="13">
        <v>4220421</v>
      </c>
      <c r="D31" s="13">
        <v>6250948</v>
      </c>
      <c r="E31" s="14">
        <v>-0.3248</v>
      </c>
      <c r="F31" s="13">
        <v>4929807</v>
      </c>
      <c r="G31" s="40">
        <v>-0.1439</v>
      </c>
      <c r="H31" s="26">
        <v>0.00988562002900414</v>
      </c>
      <c r="I31" s="35">
        <v>4499.24</v>
      </c>
      <c r="J31" s="35">
        <v>4984.875</v>
      </c>
      <c r="K31" s="40">
        <v>-0.0974</v>
      </c>
      <c r="L31" s="35">
        <v>5270.635</v>
      </c>
      <c r="M31" s="14">
        <v>-0.1464</v>
      </c>
      <c r="N31" s="26">
        <v>0.0128397377142713</v>
      </c>
      <c r="O31" s="13">
        <v>9150228</v>
      </c>
      <c r="P31" s="13">
        <v>14432444</v>
      </c>
      <c r="Q31" s="40">
        <v>-0.366</v>
      </c>
      <c r="R31" s="40">
        <v>0.0105171085127183</v>
      </c>
      <c r="S31" s="35">
        <v>9769.87</v>
      </c>
      <c r="T31" s="35">
        <v>11207.265</v>
      </c>
      <c r="U31" s="14">
        <v>-0.1283</v>
      </c>
      <c r="V31" s="26">
        <v>0.0136280564733607</v>
      </c>
      <c r="W31" s="39">
        <v>533760</v>
      </c>
      <c r="X31" s="26">
        <v>0.0168716002189363</v>
      </c>
      <c r="Y31" s="13">
        <v>505518</v>
      </c>
      <c r="Z31" s="43">
        <v>0.0559</v>
      </c>
    </row>
    <row r="32" customFormat="1" spans="1:26">
      <c r="A32" s="23"/>
      <c r="B32" s="24" t="s">
        <v>55</v>
      </c>
      <c r="C32" s="13">
        <v>610976</v>
      </c>
      <c r="D32" s="13">
        <v>493877</v>
      </c>
      <c r="E32" s="14">
        <v>0.2371</v>
      </c>
      <c r="F32" s="13">
        <v>596012</v>
      </c>
      <c r="G32" s="40">
        <v>0.0251</v>
      </c>
      <c r="H32" s="26">
        <v>0.00143110760344545</v>
      </c>
      <c r="I32" s="35">
        <v>9.135</v>
      </c>
      <c r="J32" s="35">
        <v>9.435</v>
      </c>
      <c r="K32" s="40">
        <v>-0.0321</v>
      </c>
      <c r="L32" s="35">
        <v>8.835</v>
      </c>
      <c r="M32" s="14">
        <v>0.034</v>
      </c>
      <c r="N32" s="26">
        <v>2.60690703362942e-5</v>
      </c>
      <c r="O32" s="13">
        <v>1206988</v>
      </c>
      <c r="P32" s="13">
        <v>1023167</v>
      </c>
      <c r="Q32" s="40">
        <v>0.1797</v>
      </c>
      <c r="R32" s="40">
        <v>0.00138729043358797</v>
      </c>
      <c r="S32" s="35">
        <v>17.97</v>
      </c>
      <c r="T32" s="35">
        <v>18.225</v>
      </c>
      <c r="U32" s="14">
        <v>-0.014</v>
      </c>
      <c r="V32" s="26">
        <v>2.50664722075413e-5</v>
      </c>
      <c r="W32" s="39">
        <v>172599</v>
      </c>
      <c r="X32" s="26">
        <v>0.00545567544624586</v>
      </c>
      <c r="Y32" s="13">
        <v>175412</v>
      </c>
      <c r="Z32" s="43">
        <v>-0.016</v>
      </c>
    </row>
    <row r="33" customFormat="1" spans="1:26">
      <c r="A33" s="23"/>
      <c r="B33" s="24" t="s">
        <v>56</v>
      </c>
      <c r="C33" s="13">
        <v>39655</v>
      </c>
      <c r="D33" s="13">
        <v>191599</v>
      </c>
      <c r="E33" s="14">
        <v>-0.793</v>
      </c>
      <c r="F33" s="13">
        <v>42167</v>
      </c>
      <c r="G33" s="40">
        <v>-0.0596</v>
      </c>
      <c r="H33" s="26">
        <v>9.28851084406411e-5</v>
      </c>
      <c r="I33" s="35">
        <v>56.77</v>
      </c>
      <c r="J33" s="35">
        <v>219.285</v>
      </c>
      <c r="K33" s="40">
        <v>-0.7411</v>
      </c>
      <c r="L33" s="35">
        <v>60.54</v>
      </c>
      <c r="M33" s="14">
        <v>-0.0623</v>
      </c>
      <c r="N33" s="26">
        <v>0.000162007785768081</v>
      </c>
      <c r="O33" s="13">
        <v>81822</v>
      </c>
      <c r="P33" s="13">
        <v>495098</v>
      </c>
      <c r="Q33" s="40">
        <v>-0.8347</v>
      </c>
      <c r="R33" s="40">
        <v>9.40447443197736e-5</v>
      </c>
      <c r="S33" s="35">
        <v>117.31</v>
      </c>
      <c r="T33" s="35">
        <v>553.705</v>
      </c>
      <c r="U33" s="14">
        <v>-0.7881</v>
      </c>
      <c r="V33" s="26">
        <v>0.000163636497199036</v>
      </c>
      <c r="W33" s="39">
        <v>3781</v>
      </c>
      <c r="X33" s="26">
        <v>0.000119513490010114</v>
      </c>
      <c r="Y33" s="13">
        <v>4080</v>
      </c>
      <c r="Z33" s="43">
        <v>-0.0733</v>
      </c>
    </row>
    <row r="34" customFormat="1" spans="1:26">
      <c r="A34" s="23"/>
      <c r="B34" s="24" t="s">
        <v>57</v>
      </c>
      <c r="C34" s="13">
        <v>4</v>
      </c>
      <c r="D34" s="13">
        <v>0</v>
      </c>
      <c r="E34" s="14">
        <v>0</v>
      </c>
      <c r="F34" s="13">
        <v>112</v>
      </c>
      <c r="G34" s="40">
        <v>-0.9643</v>
      </c>
      <c r="H34" s="26">
        <v>9.36932123975702e-9</v>
      </c>
      <c r="I34" s="35">
        <v>0</v>
      </c>
      <c r="J34" s="35">
        <v>0</v>
      </c>
      <c r="K34" s="40">
        <v>0</v>
      </c>
      <c r="L34" s="35">
        <v>0.065</v>
      </c>
      <c r="M34" s="14">
        <v>-0.9639</v>
      </c>
      <c r="N34" s="26">
        <v>0</v>
      </c>
      <c r="O34" s="13">
        <v>116</v>
      </c>
      <c r="P34" s="13">
        <v>2</v>
      </c>
      <c r="Q34" s="40">
        <v>57</v>
      </c>
      <c r="R34" s="40">
        <v>1.33328326624792e-7</v>
      </c>
      <c r="S34" s="35">
        <v>0.065</v>
      </c>
      <c r="T34" s="35">
        <v>0</v>
      </c>
      <c r="U34" s="14">
        <v>0</v>
      </c>
      <c r="V34" s="26">
        <v>9.06689311903275e-8</v>
      </c>
      <c r="W34" s="39">
        <v>2</v>
      </c>
      <c r="X34" s="26">
        <v>6.32179264798273e-8</v>
      </c>
      <c r="Y34" s="13">
        <v>3</v>
      </c>
      <c r="Z34" s="43">
        <v>-0.3333</v>
      </c>
    </row>
    <row r="35" customFormat="1" spans="1:26">
      <c r="A35" s="23"/>
      <c r="B35" s="24" t="s">
        <v>58</v>
      </c>
      <c r="C35" s="13">
        <v>18739404</v>
      </c>
      <c r="D35" s="13">
        <v>19871747</v>
      </c>
      <c r="E35" s="14">
        <v>-0.057</v>
      </c>
      <c r="F35" s="13">
        <v>24323060</v>
      </c>
      <c r="G35" s="40">
        <v>-0.2296</v>
      </c>
      <c r="H35" s="26">
        <v>0.0438938739793969</v>
      </c>
      <c r="I35" s="35">
        <v>5247.39</v>
      </c>
      <c r="J35" s="35">
        <v>4720.505</v>
      </c>
      <c r="K35" s="40">
        <v>0.1116</v>
      </c>
      <c r="L35" s="35">
        <v>6570.19</v>
      </c>
      <c r="M35" s="14">
        <v>-0.2013</v>
      </c>
      <c r="N35" s="26">
        <v>0.0149747760253932</v>
      </c>
      <c r="O35" s="13">
        <v>43062464</v>
      </c>
      <c r="P35" s="13">
        <v>49865500</v>
      </c>
      <c r="Q35" s="40">
        <v>-0.1364</v>
      </c>
      <c r="R35" s="40">
        <v>0.0494952264263824</v>
      </c>
      <c r="S35" s="35">
        <v>11817.58</v>
      </c>
      <c r="T35" s="35">
        <v>11708.85</v>
      </c>
      <c r="U35" s="14">
        <v>0.0093</v>
      </c>
      <c r="V35" s="26">
        <v>0.0164844207362491</v>
      </c>
      <c r="W35" s="39">
        <v>1568752</v>
      </c>
      <c r="X35" s="26">
        <v>0.0495866243005411</v>
      </c>
      <c r="Y35" s="13">
        <v>1420327</v>
      </c>
      <c r="Z35" s="43">
        <v>0.1045</v>
      </c>
    </row>
    <row r="36" customFormat="1" spans="1:26">
      <c r="A36" s="23"/>
      <c r="B36" s="24" t="s">
        <v>59</v>
      </c>
      <c r="C36" s="13">
        <v>1768687</v>
      </c>
      <c r="D36" s="13">
        <v>1118105</v>
      </c>
      <c r="E36" s="14">
        <v>0.5819</v>
      </c>
      <c r="F36" s="13">
        <v>2451724</v>
      </c>
      <c r="G36" s="40">
        <v>-0.2786</v>
      </c>
      <c r="H36" s="26">
        <v>0.00414284916889553</v>
      </c>
      <c r="I36" s="35">
        <v>8.22</v>
      </c>
      <c r="J36" s="35">
        <v>5.58</v>
      </c>
      <c r="K36" s="40">
        <v>0.4735</v>
      </c>
      <c r="L36" s="35">
        <v>10.605</v>
      </c>
      <c r="M36" s="14">
        <v>-0.2249</v>
      </c>
      <c r="N36" s="26">
        <v>2.34578826671415e-5</v>
      </c>
      <c r="O36" s="13">
        <v>4220411</v>
      </c>
      <c r="P36" s="13">
        <v>2194567</v>
      </c>
      <c r="Q36" s="40">
        <v>0.9231</v>
      </c>
      <c r="R36" s="40">
        <v>0.00485086496809367</v>
      </c>
      <c r="S36" s="35">
        <v>18.825</v>
      </c>
      <c r="T36" s="35">
        <v>10.52</v>
      </c>
      <c r="U36" s="14">
        <v>0.7894</v>
      </c>
      <c r="V36" s="26">
        <v>2.62591173793525e-5</v>
      </c>
      <c r="W36" s="39">
        <v>134810</v>
      </c>
      <c r="X36" s="26">
        <v>0.00426120433437276</v>
      </c>
      <c r="Y36" s="13">
        <v>113946</v>
      </c>
      <c r="Z36" s="43">
        <v>0.1831</v>
      </c>
    </row>
    <row r="37" customFormat="1" spans="1:26">
      <c r="A37" s="23"/>
      <c r="B37" s="24" t="s">
        <v>60</v>
      </c>
      <c r="C37" s="13">
        <v>6612796</v>
      </c>
      <c r="D37" s="13">
        <v>4422628</v>
      </c>
      <c r="E37" s="14">
        <v>0.4952</v>
      </c>
      <c r="F37" s="13">
        <v>7696318</v>
      </c>
      <c r="G37" s="40">
        <v>-0.1408</v>
      </c>
      <c r="H37" s="26">
        <v>0.0154893525042451</v>
      </c>
      <c r="I37" s="35">
        <v>8153.545</v>
      </c>
      <c r="J37" s="35">
        <v>4391.915</v>
      </c>
      <c r="K37" s="40">
        <v>0.8565</v>
      </c>
      <c r="L37" s="35">
        <v>9242.015</v>
      </c>
      <c r="M37" s="14">
        <v>-0.1178</v>
      </c>
      <c r="N37" s="26">
        <v>0.0232682362446787</v>
      </c>
      <c r="O37" s="13">
        <v>14309114</v>
      </c>
      <c r="P37" s="13">
        <v>11843095</v>
      </c>
      <c r="Q37" s="40">
        <v>0.2082</v>
      </c>
      <c r="R37" s="40">
        <v>0.0164466398715809</v>
      </c>
      <c r="S37" s="35">
        <v>17395.56</v>
      </c>
      <c r="T37" s="35">
        <v>11774.31</v>
      </c>
      <c r="U37" s="14">
        <v>0.4774</v>
      </c>
      <c r="V37" s="26">
        <v>0.0242651820408802</v>
      </c>
      <c r="W37" s="39">
        <v>212911</v>
      </c>
      <c r="X37" s="26">
        <v>0.00672989597237326</v>
      </c>
      <c r="Y37" s="13">
        <v>221012</v>
      </c>
      <c r="Z37" s="43">
        <v>-0.0367</v>
      </c>
    </row>
    <row r="38" customFormat="1" spans="1:26">
      <c r="A38" s="23"/>
      <c r="B38" s="24" t="s">
        <v>61</v>
      </c>
      <c r="C38" s="13">
        <v>113</v>
      </c>
      <c r="D38" s="13">
        <v>409</v>
      </c>
      <c r="E38" s="14">
        <v>-0.7237</v>
      </c>
      <c r="F38" s="13">
        <v>37</v>
      </c>
      <c r="G38" s="40">
        <v>2.0541</v>
      </c>
      <c r="H38" s="26">
        <v>2.64683325023136e-7</v>
      </c>
      <c r="I38" s="35">
        <v>0.07</v>
      </c>
      <c r="J38" s="35">
        <v>0.25</v>
      </c>
      <c r="K38" s="40">
        <v>-0.7267</v>
      </c>
      <c r="L38" s="35">
        <v>0.02</v>
      </c>
      <c r="M38" s="14">
        <v>2.1029</v>
      </c>
      <c r="N38" s="26">
        <v>1.99762991082714e-7</v>
      </c>
      <c r="O38" s="13">
        <v>150</v>
      </c>
      <c r="P38" s="13">
        <v>2017</v>
      </c>
      <c r="Q38" s="40">
        <v>-0.9256</v>
      </c>
      <c r="R38" s="40">
        <v>1.72407318911369e-7</v>
      </c>
      <c r="S38" s="35">
        <v>0.09</v>
      </c>
      <c r="T38" s="35">
        <v>1.23</v>
      </c>
      <c r="U38" s="14">
        <v>-0.9268</v>
      </c>
      <c r="V38" s="26">
        <v>1.25541597032761e-7</v>
      </c>
      <c r="W38" s="39">
        <v>13</v>
      </c>
      <c r="X38" s="26">
        <v>4.10916522118878e-7</v>
      </c>
      <c r="Y38" s="13">
        <v>10</v>
      </c>
      <c r="Z38" s="43">
        <v>0.3</v>
      </c>
    </row>
    <row r="39" customFormat="1" spans="1:26">
      <c r="A39" s="23"/>
      <c r="B39" s="24" t="s">
        <v>62</v>
      </c>
      <c r="C39" s="13">
        <v>15435549</v>
      </c>
      <c r="D39" s="13">
        <v>17105834</v>
      </c>
      <c r="E39" s="14">
        <v>-0.0976</v>
      </c>
      <c r="F39" s="13">
        <v>12801677</v>
      </c>
      <c r="G39" s="40">
        <v>0.2057</v>
      </c>
      <c r="H39" s="26">
        <v>0.0361551542732526</v>
      </c>
      <c r="I39" s="35">
        <v>5336.35</v>
      </c>
      <c r="J39" s="35">
        <v>4994.405</v>
      </c>
      <c r="K39" s="40">
        <v>0.0685</v>
      </c>
      <c r="L39" s="35">
        <v>3787.53</v>
      </c>
      <c r="M39" s="14">
        <v>0.4089</v>
      </c>
      <c r="N39" s="26">
        <v>0.0152286462494891</v>
      </c>
      <c r="O39" s="13">
        <v>28237226</v>
      </c>
      <c r="P39" s="13">
        <v>38470090</v>
      </c>
      <c r="Q39" s="40">
        <v>-0.266</v>
      </c>
      <c r="R39" s="40">
        <v>0.0324553628543627</v>
      </c>
      <c r="S39" s="35">
        <v>9123.88</v>
      </c>
      <c r="T39" s="35">
        <v>11292.32</v>
      </c>
      <c r="U39" s="14">
        <v>-0.192</v>
      </c>
      <c r="V39" s="26">
        <v>0.0127269607370585</v>
      </c>
      <c r="W39" s="39">
        <v>782311</v>
      </c>
      <c r="X39" s="26">
        <v>0.0247280396411801</v>
      </c>
      <c r="Y39" s="13">
        <v>732739</v>
      </c>
      <c r="Z39" s="43">
        <v>0.0677</v>
      </c>
    </row>
    <row r="40" customFormat="1" spans="1:26">
      <c r="A40" s="23"/>
      <c r="B40" s="24" t="s">
        <v>63</v>
      </c>
      <c r="C40" s="13">
        <v>676792</v>
      </c>
      <c r="D40" s="13">
        <v>321016</v>
      </c>
      <c r="E40" s="14">
        <v>1.1083</v>
      </c>
      <c r="F40" s="13">
        <v>519953</v>
      </c>
      <c r="G40" s="40">
        <v>0.3016</v>
      </c>
      <c r="H40" s="26">
        <v>0.00158527041512441</v>
      </c>
      <c r="I40" s="35">
        <v>6.36</v>
      </c>
      <c r="J40" s="35">
        <v>1.785</v>
      </c>
      <c r="K40" s="40">
        <v>2.5664</v>
      </c>
      <c r="L40" s="35">
        <v>2.79</v>
      </c>
      <c r="M40" s="14">
        <v>1.2817</v>
      </c>
      <c r="N40" s="26">
        <v>1.81498946183723e-5</v>
      </c>
      <c r="O40" s="13">
        <v>1196745</v>
      </c>
      <c r="P40" s="13">
        <v>897670</v>
      </c>
      <c r="Q40" s="40">
        <v>0.3332</v>
      </c>
      <c r="R40" s="40">
        <v>0.00137551731247058</v>
      </c>
      <c r="S40" s="35">
        <v>9.15</v>
      </c>
      <c r="T40" s="35">
        <v>5.025</v>
      </c>
      <c r="U40" s="14">
        <v>0.8209</v>
      </c>
      <c r="V40" s="26">
        <v>1.27633956983307e-5</v>
      </c>
      <c r="W40" s="39">
        <v>101473</v>
      </c>
      <c r="X40" s="26">
        <v>0.00320745632684376</v>
      </c>
      <c r="Y40" s="13">
        <v>75953</v>
      </c>
      <c r="Z40" s="43">
        <v>0.336</v>
      </c>
    </row>
    <row r="41" customFormat="1" spans="1:26">
      <c r="A41" s="23"/>
      <c r="B41" s="24" t="s">
        <v>64</v>
      </c>
      <c r="C41" s="13">
        <v>6696471</v>
      </c>
      <c r="D41" s="13">
        <v>7801849</v>
      </c>
      <c r="E41" s="14">
        <v>-0.1417</v>
      </c>
      <c r="F41" s="13">
        <v>7770853</v>
      </c>
      <c r="G41" s="40">
        <v>-0.1383</v>
      </c>
      <c r="H41" s="26">
        <v>0.0156853469929292</v>
      </c>
      <c r="I41" s="35">
        <v>3838.125</v>
      </c>
      <c r="J41" s="35">
        <v>4200.52</v>
      </c>
      <c r="K41" s="40">
        <v>-0.0863</v>
      </c>
      <c r="L41" s="35">
        <v>4484.69</v>
      </c>
      <c r="M41" s="14">
        <v>-0.1442</v>
      </c>
      <c r="N41" s="26">
        <v>0.0109530761449906</v>
      </c>
      <c r="O41" s="13">
        <v>14467324</v>
      </c>
      <c r="P41" s="13">
        <v>19039134</v>
      </c>
      <c r="Q41" s="40">
        <v>-0.2401</v>
      </c>
      <c r="R41" s="40">
        <v>0.0166284836177474</v>
      </c>
      <c r="S41" s="35">
        <v>8322.815</v>
      </c>
      <c r="T41" s="35">
        <v>10167.17</v>
      </c>
      <c r="U41" s="14">
        <v>-0.1814</v>
      </c>
      <c r="V41" s="26">
        <v>0.0116095498545358</v>
      </c>
      <c r="W41" s="39">
        <v>644621</v>
      </c>
      <c r="X41" s="26">
        <v>0.0203758014926764</v>
      </c>
      <c r="Y41" s="13">
        <v>543859</v>
      </c>
      <c r="Z41" s="43">
        <v>0.1853</v>
      </c>
    </row>
    <row r="42" customFormat="1" spans="1:26">
      <c r="A42" s="23"/>
      <c r="B42" s="24" t="s">
        <v>65</v>
      </c>
      <c r="C42" s="13">
        <v>1275305</v>
      </c>
      <c r="D42" s="13">
        <v>614123</v>
      </c>
      <c r="E42" s="14">
        <v>1.0766</v>
      </c>
      <c r="F42" s="13">
        <v>1206069</v>
      </c>
      <c r="G42" s="40">
        <v>0.0574</v>
      </c>
      <c r="H42" s="26">
        <v>0.00298718555591708</v>
      </c>
      <c r="I42" s="35">
        <v>6.585</v>
      </c>
      <c r="J42" s="35">
        <v>5.125</v>
      </c>
      <c r="K42" s="40">
        <v>0.2853</v>
      </c>
      <c r="L42" s="35">
        <v>6.48</v>
      </c>
      <c r="M42" s="14">
        <v>0.0163</v>
      </c>
      <c r="N42" s="26">
        <v>1.87919899468524e-5</v>
      </c>
      <c r="O42" s="13">
        <v>2481374</v>
      </c>
      <c r="P42" s="13">
        <v>1348667</v>
      </c>
      <c r="Q42" s="40">
        <v>0.8399</v>
      </c>
      <c r="R42" s="40">
        <v>0.0028520469237092</v>
      </c>
      <c r="S42" s="35">
        <v>13.065</v>
      </c>
      <c r="T42" s="35">
        <v>11.26</v>
      </c>
      <c r="U42" s="14">
        <v>0.1603</v>
      </c>
      <c r="V42" s="26">
        <v>1.82244551692558e-5</v>
      </c>
      <c r="W42" s="39">
        <v>250131</v>
      </c>
      <c r="X42" s="26">
        <v>0.00790638158416285</v>
      </c>
      <c r="Y42" s="13">
        <v>192172</v>
      </c>
      <c r="Z42" s="43">
        <v>0.3016</v>
      </c>
    </row>
    <row r="43" customFormat="1" spans="1:26">
      <c r="A43" s="23"/>
      <c r="B43" s="24" t="s">
        <v>66</v>
      </c>
      <c r="C43" s="13">
        <v>28719295</v>
      </c>
      <c r="D43" s="13">
        <v>38099279</v>
      </c>
      <c r="E43" s="14">
        <v>-0.2462</v>
      </c>
      <c r="F43" s="13">
        <v>33180355</v>
      </c>
      <c r="G43" s="40">
        <v>-0.1344</v>
      </c>
      <c r="H43" s="26">
        <v>0.0672700751585869</v>
      </c>
      <c r="I43" s="35">
        <v>8058.945</v>
      </c>
      <c r="J43" s="35">
        <v>8438.96</v>
      </c>
      <c r="K43" s="40">
        <v>-0.045</v>
      </c>
      <c r="L43" s="35">
        <v>8757.315</v>
      </c>
      <c r="M43" s="14">
        <v>-0.0797</v>
      </c>
      <c r="N43" s="26">
        <v>0.0229982708310155</v>
      </c>
      <c r="O43" s="13">
        <v>61899650</v>
      </c>
      <c r="P43" s="13">
        <v>80746554</v>
      </c>
      <c r="Q43" s="40">
        <v>-0.2334</v>
      </c>
      <c r="R43" s="40">
        <v>0.0711463513203476</v>
      </c>
      <c r="S43" s="35">
        <v>16816.26</v>
      </c>
      <c r="T43" s="35">
        <v>16926.325</v>
      </c>
      <c r="U43" s="14">
        <v>-0.0065</v>
      </c>
      <c r="V43" s="26">
        <v>0.0234571126279793</v>
      </c>
      <c r="W43" s="39">
        <v>1977564</v>
      </c>
      <c r="X43" s="26">
        <v>0.0625087477805766</v>
      </c>
      <c r="Y43" s="13">
        <v>1881873</v>
      </c>
      <c r="Z43" s="43">
        <v>0.0508</v>
      </c>
    </row>
    <row r="44" customFormat="1" spans="1:26">
      <c r="A44" s="23"/>
      <c r="B44" s="27" t="s">
        <v>67</v>
      </c>
      <c r="C44" s="13">
        <v>2694918</v>
      </c>
      <c r="D44" s="13">
        <v>1788258</v>
      </c>
      <c r="E44" s="14">
        <v>0.507</v>
      </c>
      <c r="F44" s="13">
        <v>2924589</v>
      </c>
      <c r="G44" s="40">
        <v>-0.0785</v>
      </c>
      <c r="H44" s="26">
        <v>0.00631238811420088</v>
      </c>
      <c r="I44" s="35">
        <v>12.635</v>
      </c>
      <c r="J44" s="35">
        <v>12.085</v>
      </c>
      <c r="K44" s="40">
        <v>0.0455</v>
      </c>
      <c r="L44" s="35">
        <v>11.21</v>
      </c>
      <c r="M44" s="14">
        <v>0.1275</v>
      </c>
      <c r="N44" s="26">
        <v>3.60572198904299e-5</v>
      </c>
      <c r="O44" s="13">
        <v>5619507</v>
      </c>
      <c r="P44" s="13">
        <v>3378859</v>
      </c>
      <c r="Q44" s="40">
        <v>0.6631</v>
      </c>
      <c r="R44" s="40">
        <v>0.00645896090315781</v>
      </c>
      <c r="S44" s="35">
        <v>23.845</v>
      </c>
      <c r="T44" s="35">
        <v>19.615</v>
      </c>
      <c r="U44" s="14">
        <v>0.2157</v>
      </c>
      <c r="V44" s="26">
        <v>3.32615486805132e-5</v>
      </c>
      <c r="W44" s="39">
        <v>202856</v>
      </c>
      <c r="X44" s="26">
        <v>0.00641206784699593</v>
      </c>
      <c r="Y44" s="13">
        <v>241083</v>
      </c>
      <c r="Z44" s="43">
        <v>-0.1586</v>
      </c>
    </row>
    <row r="45" customFormat="1" spans="1:26">
      <c r="A45" s="23"/>
      <c r="B45" s="28" t="s">
        <v>68</v>
      </c>
      <c r="C45" s="13">
        <v>0</v>
      </c>
      <c r="D45" s="13">
        <v>49</v>
      </c>
      <c r="E45" s="14">
        <v>-1</v>
      </c>
      <c r="F45" s="13">
        <v>0</v>
      </c>
      <c r="G45" s="40">
        <v>0</v>
      </c>
      <c r="H45" s="26">
        <v>0</v>
      </c>
      <c r="I45" s="35">
        <v>0</v>
      </c>
      <c r="J45" s="35">
        <v>0.06</v>
      </c>
      <c r="K45" s="40">
        <v>-1</v>
      </c>
      <c r="L45" s="35">
        <v>0</v>
      </c>
      <c r="M45" s="14">
        <v>0</v>
      </c>
      <c r="N45" s="26">
        <v>0</v>
      </c>
      <c r="O45" s="13">
        <v>0</v>
      </c>
      <c r="P45" s="13">
        <v>190</v>
      </c>
      <c r="Q45" s="40">
        <v>-1</v>
      </c>
      <c r="R45" s="40">
        <v>0</v>
      </c>
      <c r="S45" s="35">
        <v>0</v>
      </c>
      <c r="T45" s="35">
        <v>0.24</v>
      </c>
      <c r="U45" s="14">
        <v>-1</v>
      </c>
      <c r="V45" s="26">
        <v>0</v>
      </c>
      <c r="W45" s="39">
        <v>0</v>
      </c>
      <c r="X45" s="26">
        <v>0</v>
      </c>
      <c r="Y45" s="13">
        <v>0</v>
      </c>
      <c r="Z45" s="43">
        <v>0</v>
      </c>
    </row>
    <row r="46" customFormat="1" spans="1:26">
      <c r="A46" s="23"/>
      <c r="B46" s="24" t="s">
        <v>69</v>
      </c>
      <c r="C46" s="13">
        <v>5387</v>
      </c>
      <c r="D46" s="13">
        <v>1923</v>
      </c>
      <c r="E46" s="14">
        <v>1.8014</v>
      </c>
      <c r="F46" s="13">
        <v>80</v>
      </c>
      <c r="G46" s="40">
        <v>66.3375</v>
      </c>
      <c r="H46" s="26">
        <v>1.26181333796428e-5</v>
      </c>
      <c r="I46" s="35">
        <v>3.39</v>
      </c>
      <c r="J46" s="35">
        <v>1.05</v>
      </c>
      <c r="K46" s="40">
        <v>2.2282</v>
      </c>
      <c r="L46" s="35">
        <v>0.045</v>
      </c>
      <c r="M46" s="14">
        <v>70.9667</v>
      </c>
      <c r="N46" s="26">
        <v>9.67423628243429e-6</v>
      </c>
      <c r="O46" s="13">
        <v>5467</v>
      </c>
      <c r="P46" s="13">
        <v>4821</v>
      </c>
      <c r="Q46" s="40">
        <v>0.134</v>
      </c>
      <c r="R46" s="40">
        <v>6.28367208325637e-6</v>
      </c>
      <c r="S46" s="35">
        <v>3.44</v>
      </c>
      <c r="T46" s="35">
        <v>2.63</v>
      </c>
      <c r="U46" s="14">
        <v>0.308</v>
      </c>
      <c r="V46" s="26">
        <v>4.79847881991887e-6</v>
      </c>
      <c r="W46" s="39">
        <v>635</v>
      </c>
      <c r="X46" s="26">
        <v>2.00716916573452e-5</v>
      </c>
      <c r="Y46" s="13">
        <v>93</v>
      </c>
      <c r="Z46" s="43">
        <v>5.828</v>
      </c>
    </row>
    <row r="47" customFormat="1" spans="1:26">
      <c r="A47" s="23"/>
      <c r="B47" s="29" t="s">
        <v>70</v>
      </c>
      <c r="C47" s="13">
        <v>10913040</v>
      </c>
      <c r="D47" s="13">
        <v>12769604</v>
      </c>
      <c r="E47" s="14">
        <v>-0.1454</v>
      </c>
      <c r="F47" s="13">
        <v>9006125</v>
      </c>
      <c r="G47" s="40">
        <v>0.2117</v>
      </c>
      <c r="H47" s="26">
        <v>0.0255619443655795</v>
      </c>
      <c r="I47" s="35">
        <v>4623.78</v>
      </c>
      <c r="J47" s="35">
        <v>4842.09</v>
      </c>
      <c r="K47" s="40">
        <v>-0.0451</v>
      </c>
      <c r="L47" s="35">
        <v>3656.155</v>
      </c>
      <c r="M47" s="14">
        <v>0.2647</v>
      </c>
      <c r="N47" s="26">
        <v>0.0131951446129776</v>
      </c>
      <c r="O47" s="13">
        <v>19919165</v>
      </c>
      <c r="P47" s="13">
        <v>34135000</v>
      </c>
      <c r="Q47" s="40">
        <v>-0.4165</v>
      </c>
      <c r="R47" s="40">
        <v>0.0228947322173546</v>
      </c>
      <c r="S47" s="35">
        <v>8279.935</v>
      </c>
      <c r="T47" s="35">
        <v>12406.86</v>
      </c>
      <c r="U47" s="14">
        <v>-0.3326</v>
      </c>
      <c r="V47" s="26">
        <v>0.0115497362580828</v>
      </c>
      <c r="W47" s="39">
        <v>538450</v>
      </c>
      <c r="X47" s="26">
        <v>0.0170198462565315</v>
      </c>
      <c r="Y47" s="13">
        <v>390317</v>
      </c>
      <c r="Z47" s="43">
        <v>0.3795</v>
      </c>
    </row>
    <row r="48" customFormat="1" spans="1:26">
      <c r="A48" s="23"/>
      <c r="B48" s="30" t="s">
        <v>71</v>
      </c>
      <c r="C48" s="13">
        <v>162311</v>
      </c>
      <c r="D48" s="13">
        <v>9481741</v>
      </c>
      <c r="E48" s="14">
        <v>-0.9829</v>
      </c>
      <c r="F48" s="13">
        <v>246604</v>
      </c>
      <c r="G48" s="40">
        <v>-0.3418</v>
      </c>
      <c r="H48" s="26">
        <v>0.00038018597493655</v>
      </c>
      <c r="I48" s="35">
        <v>133</v>
      </c>
      <c r="J48" s="35">
        <v>5796.74</v>
      </c>
      <c r="K48" s="40">
        <v>-0.9771</v>
      </c>
      <c r="L48" s="35">
        <v>180.98</v>
      </c>
      <c r="M48" s="14">
        <v>-0.2651</v>
      </c>
      <c r="N48" s="26">
        <v>0.000379549683057156</v>
      </c>
      <c r="O48" s="13">
        <v>408915</v>
      </c>
      <c r="P48" s="13">
        <v>24204813</v>
      </c>
      <c r="Q48" s="40">
        <v>-0.9831</v>
      </c>
      <c r="R48" s="40">
        <v>0.000469999592084283</v>
      </c>
      <c r="S48" s="35">
        <v>313.98</v>
      </c>
      <c r="T48" s="35">
        <v>15949.93</v>
      </c>
      <c r="U48" s="14">
        <v>-0.9803</v>
      </c>
      <c r="V48" s="26">
        <v>0.000437972784848293</v>
      </c>
      <c r="W48" s="39">
        <v>16405</v>
      </c>
      <c r="X48" s="26">
        <v>0.000518545041950784</v>
      </c>
      <c r="Y48" s="13">
        <v>28435</v>
      </c>
      <c r="Z48" s="43">
        <v>-0.4231</v>
      </c>
    </row>
    <row r="49" customFormat="1" spans="1:26">
      <c r="A49" s="23"/>
      <c r="B49" s="30" t="s">
        <v>72</v>
      </c>
      <c r="C49" s="13">
        <v>43627</v>
      </c>
      <c r="D49" s="13">
        <v>483810</v>
      </c>
      <c r="E49" s="14">
        <v>-0.9098</v>
      </c>
      <c r="F49" s="13">
        <v>39000</v>
      </c>
      <c r="G49" s="40">
        <v>0.1186</v>
      </c>
      <c r="H49" s="26">
        <v>0.00010218884443172</v>
      </c>
      <c r="I49" s="35">
        <v>1.415</v>
      </c>
      <c r="J49" s="35">
        <v>6.32</v>
      </c>
      <c r="K49" s="40">
        <v>-0.7762</v>
      </c>
      <c r="L49" s="35">
        <v>1.44</v>
      </c>
      <c r="M49" s="14">
        <v>-0.017</v>
      </c>
      <c r="N49" s="26">
        <v>4.03806617688629e-6</v>
      </c>
      <c r="O49" s="13">
        <v>82627</v>
      </c>
      <c r="P49" s="13">
        <v>1181837</v>
      </c>
      <c r="Q49" s="40">
        <v>-0.9301</v>
      </c>
      <c r="R49" s="40">
        <v>9.49699969312647e-5</v>
      </c>
      <c r="S49" s="35">
        <v>2.85</v>
      </c>
      <c r="T49" s="35">
        <v>17.41</v>
      </c>
      <c r="U49" s="14">
        <v>-0.8363</v>
      </c>
      <c r="V49" s="26">
        <v>3.97548390603744e-6</v>
      </c>
      <c r="W49" s="39">
        <v>14380</v>
      </c>
      <c r="X49" s="26">
        <v>0.000454536891389959</v>
      </c>
      <c r="Y49" s="13">
        <v>13741</v>
      </c>
      <c r="Z49" s="43">
        <v>0.0465</v>
      </c>
    </row>
    <row r="50" customFormat="1" spans="1:26">
      <c r="A50" s="23"/>
      <c r="B50" s="30" t="s">
        <v>73</v>
      </c>
      <c r="C50" s="13">
        <v>0</v>
      </c>
      <c r="D50" s="13">
        <v>248</v>
      </c>
      <c r="E50" s="14">
        <v>-1</v>
      </c>
      <c r="F50" s="13">
        <v>5</v>
      </c>
      <c r="G50" s="40">
        <v>-1</v>
      </c>
      <c r="H50" s="26">
        <v>0</v>
      </c>
      <c r="I50" s="35">
        <v>0</v>
      </c>
      <c r="J50" s="35">
        <v>0.145</v>
      </c>
      <c r="K50" s="40">
        <v>-1</v>
      </c>
      <c r="L50" s="35">
        <v>0.005</v>
      </c>
      <c r="M50" s="14">
        <v>-1</v>
      </c>
      <c r="N50" s="26">
        <v>0</v>
      </c>
      <c r="O50" s="13">
        <v>5</v>
      </c>
      <c r="P50" s="13">
        <v>1148</v>
      </c>
      <c r="Q50" s="40">
        <v>-0.9956</v>
      </c>
      <c r="R50" s="40">
        <v>5.74691063037897e-9</v>
      </c>
      <c r="S50" s="35">
        <v>0.005</v>
      </c>
      <c r="T50" s="35">
        <v>0.675</v>
      </c>
      <c r="U50" s="14">
        <v>-0.9926</v>
      </c>
      <c r="V50" s="26">
        <v>6.97453316848673e-9</v>
      </c>
      <c r="W50" s="39">
        <v>0</v>
      </c>
      <c r="X50" s="26">
        <v>0</v>
      </c>
      <c r="Y50" s="13">
        <v>0</v>
      </c>
      <c r="Z50" s="43">
        <v>0</v>
      </c>
    </row>
    <row r="51" customFormat="1" spans="1:26">
      <c r="A51" s="23"/>
      <c r="B51" s="30" t="s">
        <v>74</v>
      </c>
      <c r="C51" s="13">
        <v>0</v>
      </c>
      <c r="D51" s="13">
        <v>0</v>
      </c>
      <c r="E51" s="14">
        <v>0</v>
      </c>
      <c r="F51" s="13">
        <v>0</v>
      </c>
      <c r="G51" s="40">
        <v>0</v>
      </c>
      <c r="H51" s="26">
        <v>0</v>
      </c>
      <c r="I51" s="35">
        <v>0</v>
      </c>
      <c r="J51" s="35">
        <v>0</v>
      </c>
      <c r="K51" s="40">
        <v>0</v>
      </c>
      <c r="L51" s="35">
        <v>0</v>
      </c>
      <c r="M51" s="14">
        <v>0</v>
      </c>
      <c r="N51" s="26">
        <v>0</v>
      </c>
      <c r="O51" s="13">
        <v>0</v>
      </c>
      <c r="P51" s="13">
        <v>0</v>
      </c>
      <c r="Q51" s="40">
        <v>0</v>
      </c>
      <c r="R51" s="40">
        <v>0</v>
      </c>
      <c r="S51" s="35">
        <v>0</v>
      </c>
      <c r="T51" s="35">
        <v>0</v>
      </c>
      <c r="U51" s="14">
        <v>0</v>
      </c>
      <c r="V51" s="26">
        <v>0</v>
      </c>
      <c r="W51" s="39">
        <v>0</v>
      </c>
      <c r="X51" s="26">
        <v>0</v>
      </c>
      <c r="Y51" s="13">
        <v>0</v>
      </c>
      <c r="Z51" s="43">
        <v>0</v>
      </c>
    </row>
    <row r="52" customFormat="1" spans="1:26">
      <c r="A52" s="23"/>
      <c r="B52" s="30" t="s">
        <v>75</v>
      </c>
      <c r="C52" s="13">
        <v>4688069</v>
      </c>
      <c r="D52" s="13">
        <v>4668075</v>
      </c>
      <c r="E52" s="14">
        <v>0.0043</v>
      </c>
      <c r="F52" s="13">
        <v>5291380</v>
      </c>
      <c r="G52" s="40">
        <v>-0.114</v>
      </c>
      <c r="H52" s="26">
        <v>0.0109810061137866</v>
      </c>
      <c r="I52" s="35">
        <v>2160.58</v>
      </c>
      <c r="J52" s="35">
        <v>1675.215</v>
      </c>
      <c r="K52" s="40">
        <v>0.2897</v>
      </c>
      <c r="L52" s="35">
        <v>2348.485</v>
      </c>
      <c r="M52" s="14">
        <v>-0.08</v>
      </c>
      <c r="N52" s="26">
        <v>0.00616577033247843</v>
      </c>
      <c r="O52" s="13">
        <v>9979449</v>
      </c>
      <c r="P52" s="13">
        <v>13636590</v>
      </c>
      <c r="Q52" s="40">
        <v>-0.2682</v>
      </c>
      <c r="R52" s="40">
        <v>0.011470200308685</v>
      </c>
      <c r="S52" s="35">
        <v>4509.06</v>
      </c>
      <c r="T52" s="35">
        <v>4993.1</v>
      </c>
      <c r="U52" s="14">
        <v>-0.0969</v>
      </c>
      <c r="V52" s="26">
        <v>0.00628971770573936</v>
      </c>
      <c r="W52" s="39">
        <v>205225</v>
      </c>
      <c r="X52" s="26">
        <v>0.00648694948091128</v>
      </c>
      <c r="Y52" s="13">
        <v>166494</v>
      </c>
      <c r="Z52" s="43">
        <v>0.2326</v>
      </c>
    </row>
    <row r="53" customFormat="1" spans="1:26">
      <c r="A53" s="23"/>
      <c r="B53" s="30" t="s">
        <v>76</v>
      </c>
      <c r="C53" s="13">
        <v>2046513</v>
      </c>
      <c r="D53" s="13">
        <v>4206305</v>
      </c>
      <c r="E53" s="14">
        <v>-0.5135</v>
      </c>
      <c r="F53" s="13">
        <v>2519229</v>
      </c>
      <c r="G53" s="40">
        <v>-0.1876</v>
      </c>
      <c r="H53" s="26">
        <v>0.00479360942958471</v>
      </c>
      <c r="I53" s="35">
        <v>847.78</v>
      </c>
      <c r="J53" s="35">
        <v>1518.935</v>
      </c>
      <c r="K53" s="40">
        <v>-0.4419</v>
      </c>
      <c r="L53" s="35">
        <v>1043.03</v>
      </c>
      <c r="M53" s="14">
        <v>-0.1872</v>
      </c>
      <c r="N53" s="26">
        <v>0.0024193581225729</v>
      </c>
      <c r="O53" s="13">
        <v>4565742</v>
      </c>
      <c r="P53" s="13">
        <v>12423150</v>
      </c>
      <c r="Q53" s="40">
        <v>-0.6325</v>
      </c>
      <c r="R53" s="40">
        <v>0.00524778224707355</v>
      </c>
      <c r="S53" s="35">
        <v>1890.81</v>
      </c>
      <c r="T53" s="35">
        <v>4525.485</v>
      </c>
      <c r="U53" s="14">
        <v>-0.5822</v>
      </c>
      <c r="V53" s="26">
        <v>0.00263750341206128</v>
      </c>
      <c r="W53" s="39">
        <v>245728</v>
      </c>
      <c r="X53" s="26">
        <v>0.00776720731901751</v>
      </c>
      <c r="Y53" s="13">
        <v>229792</v>
      </c>
      <c r="Z53" s="43">
        <v>0.0693</v>
      </c>
    </row>
    <row r="54" customFormat="1" spans="1:26">
      <c r="A54" s="23"/>
      <c r="B54" s="30" t="s">
        <v>77</v>
      </c>
      <c r="C54" s="13">
        <v>2618625</v>
      </c>
      <c r="D54" s="13">
        <v>6293979</v>
      </c>
      <c r="E54" s="14">
        <v>-0.5839</v>
      </c>
      <c r="F54" s="13">
        <v>3943183</v>
      </c>
      <c r="G54" s="40">
        <v>-0.3359</v>
      </c>
      <c r="H54" s="26">
        <v>0.00613368470786468</v>
      </c>
      <c r="I54" s="35">
        <v>2385.305</v>
      </c>
      <c r="J54" s="35">
        <v>3942.5</v>
      </c>
      <c r="K54" s="40">
        <v>-0.395</v>
      </c>
      <c r="L54" s="35">
        <v>3349.025</v>
      </c>
      <c r="M54" s="14">
        <v>-0.2878</v>
      </c>
      <c r="N54" s="26">
        <v>0.00680708087777933</v>
      </c>
      <c r="O54" s="13">
        <v>6561808</v>
      </c>
      <c r="P54" s="13">
        <v>14631948</v>
      </c>
      <c r="Q54" s="40">
        <v>-0.5515</v>
      </c>
      <c r="R54" s="40">
        <v>0.00754202482994116</v>
      </c>
      <c r="S54" s="35">
        <v>5734.335</v>
      </c>
      <c r="T54" s="35">
        <v>9115.515</v>
      </c>
      <c r="U54" s="14">
        <v>-0.3709</v>
      </c>
      <c r="V54" s="26">
        <v>0.00799886193134287</v>
      </c>
      <c r="W54" s="39">
        <v>222386</v>
      </c>
      <c r="X54" s="26">
        <v>0.00702939089907144</v>
      </c>
      <c r="Y54" s="13">
        <v>203461</v>
      </c>
      <c r="Z54" s="43">
        <v>0.093</v>
      </c>
    </row>
    <row r="55" customFormat="1" spans="1:26">
      <c r="A55" s="23"/>
      <c r="B55" s="30" t="s">
        <v>78</v>
      </c>
      <c r="C55" s="13">
        <v>269735</v>
      </c>
      <c r="D55" s="13">
        <v>424151</v>
      </c>
      <c r="E55" s="14">
        <v>-0.3641</v>
      </c>
      <c r="F55" s="13">
        <v>504147</v>
      </c>
      <c r="G55" s="40">
        <v>-0.465</v>
      </c>
      <c r="H55" s="26">
        <v>0.000631808466151465</v>
      </c>
      <c r="I55" s="35">
        <v>186.56</v>
      </c>
      <c r="J55" s="35">
        <v>222.045</v>
      </c>
      <c r="K55" s="40">
        <v>-0.1598</v>
      </c>
      <c r="L55" s="35">
        <v>331.985</v>
      </c>
      <c r="M55" s="14">
        <v>-0.438</v>
      </c>
      <c r="N55" s="26">
        <v>0.000532396908805587</v>
      </c>
      <c r="O55" s="13">
        <v>773882</v>
      </c>
      <c r="P55" s="13">
        <v>891391</v>
      </c>
      <c r="Q55" s="40">
        <v>-0.1318</v>
      </c>
      <c r="R55" s="40">
        <v>0.000889486138491788</v>
      </c>
      <c r="S55" s="35">
        <v>518.545</v>
      </c>
      <c r="T55" s="35">
        <v>461.93</v>
      </c>
      <c r="U55" s="14">
        <v>0.1226</v>
      </c>
      <c r="V55" s="26">
        <v>0.00072332186037059</v>
      </c>
      <c r="W55" s="39">
        <v>58739</v>
      </c>
      <c r="X55" s="26">
        <v>0.00185667889174929</v>
      </c>
      <c r="Y55" s="13">
        <v>62649</v>
      </c>
      <c r="Z55" s="43">
        <v>-0.0624</v>
      </c>
    </row>
    <row r="56" customFormat="1" spans="1:26">
      <c r="A56" s="23"/>
      <c r="B56" s="30" t="s">
        <v>79</v>
      </c>
      <c r="C56" s="13">
        <v>1350693</v>
      </c>
      <c r="D56" s="13">
        <v>2817800</v>
      </c>
      <c r="E56" s="14">
        <v>-0.5207</v>
      </c>
      <c r="F56" s="13">
        <v>1482214</v>
      </c>
      <c r="G56" s="40">
        <v>-0.0887</v>
      </c>
      <c r="H56" s="26">
        <v>0.00316376915332278</v>
      </c>
      <c r="I56" s="35">
        <v>675.475</v>
      </c>
      <c r="J56" s="35">
        <v>1135.385</v>
      </c>
      <c r="K56" s="40">
        <v>-0.4051</v>
      </c>
      <c r="L56" s="35">
        <v>749.73</v>
      </c>
      <c r="M56" s="14">
        <v>-0.099</v>
      </c>
      <c r="N56" s="26">
        <v>0.0019276415200228</v>
      </c>
      <c r="O56" s="13">
        <v>2832907</v>
      </c>
      <c r="P56" s="13">
        <v>5184651</v>
      </c>
      <c r="Q56" s="40">
        <v>-0.4536</v>
      </c>
      <c r="R56" s="40">
        <v>0.003256092670635</v>
      </c>
      <c r="S56" s="35">
        <v>1425.205</v>
      </c>
      <c r="T56" s="35">
        <v>2061.96</v>
      </c>
      <c r="U56" s="14">
        <v>-0.3088</v>
      </c>
      <c r="V56" s="26">
        <v>0.00198802790887863</v>
      </c>
      <c r="W56" s="39">
        <v>132846</v>
      </c>
      <c r="X56" s="26">
        <v>0.00419912433056957</v>
      </c>
      <c r="Y56" s="13">
        <v>121816</v>
      </c>
      <c r="Z56" s="43">
        <v>0.0905</v>
      </c>
    </row>
    <row r="57" customFormat="1" spans="1:26">
      <c r="A57" s="23"/>
      <c r="B57" s="30" t="s">
        <v>80</v>
      </c>
      <c r="C57" s="13">
        <v>22239379</v>
      </c>
      <c r="D57" s="13">
        <v>6498976</v>
      </c>
      <c r="E57" s="14">
        <v>2.422</v>
      </c>
      <c r="F57" s="13">
        <v>16858299</v>
      </c>
      <c r="G57" s="40">
        <v>0.3192</v>
      </c>
      <c r="H57" s="26">
        <v>0.0520919715059266</v>
      </c>
      <c r="I57" s="35">
        <v>12825.56</v>
      </c>
      <c r="J57" s="35">
        <v>2222.455</v>
      </c>
      <c r="K57" s="40">
        <v>4.7709</v>
      </c>
      <c r="L57" s="35">
        <v>8636.65</v>
      </c>
      <c r="M57" s="14">
        <v>0.485</v>
      </c>
      <c r="N57" s="26">
        <v>0.0366010318272973</v>
      </c>
      <c r="O57" s="13">
        <v>39097678</v>
      </c>
      <c r="P57" s="13">
        <v>15380006</v>
      </c>
      <c r="Q57" s="40">
        <v>1.5421</v>
      </c>
      <c r="R57" s="40">
        <v>0.0449381722642668</v>
      </c>
      <c r="S57" s="35">
        <v>21462.215</v>
      </c>
      <c r="T57" s="35">
        <v>5019.255</v>
      </c>
      <c r="U57" s="14">
        <v>3.276</v>
      </c>
      <c r="V57" s="26">
        <v>0.0299377860773387</v>
      </c>
      <c r="W57" s="39">
        <v>745746</v>
      </c>
      <c r="X57" s="26">
        <v>0.0235722579003127</v>
      </c>
      <c r="Y57" s="13">
        <v>583165</v>
      </c>
      <c r="Z57" s="43">
        <v>0.2788</v>
      </c>
    </row>
    <row r="58" customFormat="1" spans="1:26">
      <c r="A58" s="23"/>
      <c r="B58" s="30" t="s">
        <v>81</v>
      </c>
      <c r="C58" s="13">
        <v>2853893</v>
      </c>
      <c r="D58" s="13">
        <v>3174127</v>
      </c>
      <c r="E58" s="14">
        <v>-0.1009</v>
      </c>
      <c r="F58" s="13">
        <v>3503238</v>
      </c>
      <c r="G58" s="40">
        <v>-0.1854</v>
      </c>
      <c r="H58" s="26">
        <v>0.00668476007522347</v>
      </c>
      <c r="I58" s="35">
        <v>1084.41</v>
      </c>
      <c r="J58" s="35">
        <v>1215.54</v>
      </c>
      <c r="K58" s="40">
        <v>-0.1079</v>
      </c>
      <c r="L58" s="35">
        <v>1293.505</v>
      </c>
      <c r="M58" s="14">
        <v>-0.1616</v>
      </c>
      <c r="N58" s="26">
        <v>0.00309464264514294</v>
      </c>
      <c r="O58" s="13">
        <v>6357131</v>
      </c>
      <c r="P58" s="13">
        <v>5973078</v>
      </c>
      <c r="Q58" s="40">
        <v>0.0643</v>
      </c>
      <c r="R58" s="40">
        <v>0.00730677274452234</v>
      </c>
      <c r="S58" s="35">
        <v>2377.92</v>
      </c>
      <c r="T58" s="35">
        <v>2144.525</v>
      </c>
      <c r="U58" s="14">
        <v>0.1088</v>
      </c>
      <c r="V58" s="26">
        <v>0.00331697638240159</v>
      </c>
      <c r="W58" s="39">
        <v>230823</v>
      </c>
      <c r="X58" s="26">
        <v>0.00729607572192659</v>
      </c>
      <c r="Y58" s="13">
        <v>203966</v>
      </c>
      <c r="Z58" s="43">
        <v>0.1317</v>
      </c>
    </row>
    <row r="59" customFormat="1" spans="1:26">
      <c r="A59" s="23"/>
      <c r="B59" s="30" t="s">
        <v>82</v>
      </c>
      <c r="C59" s="13">
        <v>2417505</v>
      </c>
      <c r="D59" s="13">
        <v>2282990</v>
      </c>
      <c r="E59" s="14">
        <v>0.0589</v>
      </c>
      <c r="F59" s="13">
        <v>2429714</v>
      </c>
      <c r="G59" s="40">
        <v>-0.005</v>
      </c>
      <c r="H59" s="26">
        <v>0.0056625952359297</v>
      </c>
      <c r="I59" s="35">
        <v>985.98</v>
      </c>
      <c r="J59" s="35">
        <v>1191.03</v>
      </c>
      <c r="K59" s="40">
        <v>-0.1722</v>
      </c>
      <c r="L59" s="35">
        <v>971.585</v>
      </c>
      <c r="M59" s="14">
        <v>0.0148</v>
      </c>
      <c r="N59" s="26">
        <v>0.00281374734211049</v>
      </c>
      <c r="O59" s="13">
        <v>4847219</v>
      </c>
      <c r="P59" s="13">
        <v>2282990</v>
      </c>
      <c r="Q59" s="40">
        <v>1.1232</v>
      </c>
      <c r="R59" s="40">
        <v>0.00557130687977499</v>
      </c>
      <c r="S59" s="35">
        <v>1957.56</v>
      </c>
      <c r="T59" s="35">
        <v>1191.03</v>
      </c>
      <c r="U59" s="14">
        <v>0.6436</v>
      </c>
      <c r="V59" s="26">
        <v>0.00273061342986058</v>
      </c>
      <c r="W59" s="39">
        <v>183475</v>
      </c>
      <c r="X59" s="26">
        <v>0.00579945453044316</v>
      </c>
      <c r="Y59" s="13">
        <v>192920</v>
      </c>
      <c r="Z59" s="43">
        <v>-0.049</v>
      </c>
    </row>
    <row r="60" customFormat="1" spans="1:26">
      <c r="A60" s="23"/>
      <c r="B60" s="78" t="s">
        <v>85</v>
      </c>
      <c r="C60" s="79">
        <v>137099163</v>
      </c>
      <c r="D60" s="79">
        <v>151183450</v>
      </c>
      <c r="E60" s="80">
        <v>-0.0932</v>
      </c>
      <c r="F60" s="79">
        <v>144265951</v>
      </c>
      <c r="G60" s="81">
        <v>-0.0497</v>
      </c>
      <c r="H60" s="82">
        <v>0.321131524962202</v>
      </c>
      <c r="I60" s="85">
        <v>61146.605</v>
      </c>
      <c r="J60" s="85">
        <v>55754.235</v>
      </c>
      <c r="K60" s="81">
        <v>0.0967</v>
      </c>
      <c r="L60" s="85">
        <v>60775.54</v>
      </c>
      <c r="M60" s="80">
        <v>0.0061</v>
      </c>
      <c r="N60" s="82">
        <v>0.17449755299076</v>
      </c>
      <c r="O60" s="79">
        <v>281365114</v>
      </c>
      <c r="P60" s="79">
        <v>353668477</v>
      </c>
      <c r="Q60" s="81">
        <v>-0.2044</v>
      </c>
      <c r="R60" s="81">
        <v>0.323396032932878</v>
      </c>
      <c r="S60" s="85">
        <v>121922.145</v>
      </c>
      <c r="T60" s="85">
        <v>131586.365</v>
      </c>
      <c r="U60" s="80">
        <v>-0.0734</v>
      </c>
      <c r="V60" s="82">
        <v>0.17007000885511</v>
      </c>
      <c r="W60" s="88">
        <v>9180422</v>
      </c>
      <c r="X60" s="82">
        <v>0.290183621524895</v>
      </c>
      <c r="Y60" s="79">
        <v>8304836</v>
      </c>
      <c r="Z60" s="91">
        <v>0.1054</v>
      </c>
    </row>
    <row r="61" customFormat="1" spans="1:26">
      <c r="A61" s="11" t="s">
        <v>86</v>
      </c>
      <c r="B61" s="12" t="s">
        <v>87</v>
      </c>
      <c r="C61" s="13">
        <v>3301394</v>
      </c>
      <c r="D61" s="13">
        <v>2480991</v>
      </c>
      <c r="E61" s="14">
        <v>0.330675524417461</v>
      </c>
      <c r="F61" s="13">
        <v>3615806</v>
      </c>
      <c r="G61" s="14">
        <v>-0.0869548864070694</v>
      </c>
      <c r="H61" s="14">
        <v>0.0077329552312516</v>
      </c>
      <c r="I61" s="35">
        <v>2037.6512897</v>
      </c>
      <c r="J61" s="35">
        <v>1433.7355413</v>
      </c>
      <c r="K61" s="40">
        <v>0.421218370476061</v>
      </c>
      <c r="L61" s="35">
        <v>2144.3230885</v>
      </c>
      <c r="M61" s="14">
        <v>-0.0497461410419356</v>
      </c>
      <c r="N61" s="19">
        <v>0.00581496166305745</v>
      </c>
      <c r="O61" s="13">
        <v>6917200</v>
      </c>
      <c r="P61" s="13">
        <v>6094833</v>
      </c>
      <c r="Q61" s="40">
        <v>0.134928553415655</v>
      </c>
      <c r="R61" s="19">
        <v>0.00795050604249149</v>
      </c>
      <c r="S61" s="35">
        <v>4181.9743782</v>
      </c>
      <c r="T61" s="35">
        <v>3511.8267145</v>
      </c>
      <c r="U61" s="14">
        <v>0.190825948482317</v>
      </c>
      <c r="V61" s="19">
        <v>0.00583346380210352</v>
      </c>
      <c r="W61" s="13">
        <v>169002</v>
      </c>
      <c r="X61" s="19">
        <v>0.00534197800547189</v>
      </c>
      <c r="Y61" s="13">
        <v>164317</v>
      </c>
      <c r="Z61" s="43">
        <v>0.0285119616351321</v>
      </c>
    </row>
    <row r="62" customFormat="1" spans="1:26">
      <c r="A62" s="11"/>
      <c r="B62" s="12" t="s">
        <v>88</v>
      </c>
      <c r="C62" s="13">
        <v>1431359</v>
      </c>
      <c r="D62" s="13">
        <v>1056161</v>
      </c>
      <c r="E62" s="14">
        <v>0.355246974656326</v>
      </c>
      <c r="F62" s="13">
        <v>932179</v>
      </c>
      <c r="G62" s="14">
        <v>0.535498010575222</v>
      </c>
      <c r="H62" s="14">
        <v>0.00335271557010434</v>
      </c>
      <c r="I62" s="35">
        <v>712.1089513</v>
      </c>
      <c r="J62" s="35">
        <v>448.5424696</v>
      </c>
      <c r="K62" s="40">
        <v>0.587606524606338</v>
      </c>
      <c r="L62" s="35">
        <v>404.5919166</v>
      </c>
      <c r="M62" s="14">
        <v>0.760067174065731</v>
      </c>
      <c r="N62" s="19">
        <v>0.00203218591554947</v>
      </c>
      <c r="O62" s="13">
        <v>2363538</v>
      </c>
      <c r="P62" s="13">
        <v>2924101</v>
      </c>
      <c r="Q62" s="40">
        <v>-0.191704390511819</v>
      </c>
      <c r="R62" s="19">
        <v>0.00271660833150093</v>
      </c>
      <c r="S62" s="35">
        <v>1116.7008679</v>
      </c>
      <c r="T62" s="35">
        <v>1247.1774509</v>
      </c>
      <c r="U62" s="14">
        <v>-0.104617496817188</v>
      </c>
      <c r="V62" s="19">
        <v>0.00155769344848929</v>
      </c>
      <c r="W62" s="13">
        <v>41756</v>
      </c>
      <c r="X62" s="19">
        <v>0.00131986386904584</v>
      </c>
      <c r="Y62" s="13">
        <v>36062</v>
      </c>
      <c r="Z62" s="43">
        <v>0.157894736842105</v>
      </c>
    </row>
    <row r="63" customFormat="1" spans="1:26">
      <c r="A63" s="11"/>
      <c r="B63" s="12" t="s">
        <v>89</v>
      </c>
      <c r="C63" s="13">
        <v>0</v>
      </c>
      <c r="D63" s="13">
        <v>0</v>
      </c>
      <c r="E63" s="14" t="s">
        <v>84</v>
      </c>
      <c r="F63" s="13">
        <v>0</v>
      </c>
      <c r="G63" s="14" t="s">
        <v>84</v>
      </c>
      <c r="H63" s="14">
        <v>0</v>
      </c>
      <c r="I63" s="35">
        <v>0</v>
      </c>
      <c r="J63" s="35">
        <v>0</v>
      </c>
      <c r="K63" s="40" t="s">
        <v>84</v>
      </c>
      <c r="L63" s="35">
        <v>0</v>
      </c>
      <c r="M63" s="14" t="s">
        <v>84</v>
      </c>
      <c r="N63" s="19">
        <v>0</v>
      </c>
      <c r="O63" s="13">
        <v>0</v>
      </c>
      <c r="P63" s="13">
        <v>0</v>
      </c>
      <c r="Q63" s="40" t="s">
        <v>84</v>
      </c>
      <c r="R63" s="19">
        <v>0</v>
      </c>
      <c r="S63" s="35">
        <v>0</v>
      </c>
      <c r="T63" s="35">
        <v>0</v>
      </c>
      <c r="U63" s="14" t="s">
        <v>84</v>
      </c>
      <c r="V63" s="19">
        <v>0</v>
      </c>
      <c r="W63" s="13">
        <v>0</v>
      </c>
      <c r="X63" s="19">
        <v>0</v>
      </c>
      <c r="Y63" s="13">
        <v>0</v>
      </c>
      <c r="Z63" s="43" t="s">
        <v>84</v>
      </c>
    </row>
    <row r="64" customFormat="1" spans="1:26">
      <c r="A64" s="11"/>
      <c r="B64" s="12" t="s">
        <v>90</v>
      </c>
      <c r="C64" s="13">
        <v>10781633</v>
      </c>
      <c r="D64" s="13">
        <v>13796337</v>
      </c>
      <c r="E64" s="14">
        <v>-0.218514813026095</v>
      </c>
      <c r="F64" s="13">
        <v>10742726</v>
      </c>
      <c r="G64" s="14">
        <v>0.00362170644583126</v>
      </c>
      <c r="H64" s="14">
        <v>0.0252541457665413</v>
      </c>
      <c r="I64" s="35">
        <v>3011.9369069</v>
      </c>
      <c r="J64" s="35">
        <v>3836.1000551</v>
      </c>
      <c r="K64" s="40">
        <v>-0.214844017716455</v>
      </c>
      <c r="L64" s="35">
        <v>2922.3505628</v>
      </c>
      <c r="M64" s="14">
        <v>0.0306555774794399</v>
      </c>
      <c r="N64" s="19">
        <v>0.00859533607821088</v>
      </c>
      <c r="O64" s="13">
        <v>21524359</v>
      </c>
      <c r="P64" s="13">
        <v>31874147</v>
      </c>
      <c r="Q64" s="40">
        <v>-0.324707920811183</v>
      </c>
      <c r="R64" s="19">
        <v>0.0247397135098387</v>
      </c>
      <c r="S64" s="35">
        <v>5934.2874697</v>
      </c>
      <c r="T64" s="35">
        <v>8922.1938164</v>
      </c>
      <c r="U64" s="14">
        <v>-0.33488471649292</v>
      </c>
      <c r="V64" s="19">
        <v>0.00827777695775157</v>
      </c>
      <c r="W64" s="13">
        <v>1804874</v>
      </c>
      <c r="X64" s="19">
        <v>0.057050195918676</v>
      </c>
      <c r="Y64" s="13">
        <v>1558273</v>
      </c>
      <c r="Z64" s="43">
        <v>0.15825275802122</v>
      </c>
    </row>
    <row r="65" customFormat="1" spans="1:26">
      <c r="A65" s="11"/>
      <c r="B65" s="12" t="s">
        <v>91</v>
      </c>
      <c r="C65" s="13">
        <v>3875521</v>
      </c>
      <c r="D65" s="13">
        <v>3345043</v>
      </c>
      <c r="E65" s="14">
        <v>0.158586302179075</v>
      </c>
      <c r="F65" s="13">
        <v>3451078</v>
      </c>
      <c r="G65" s="14">
        <v>0.122988527063138</v>
      </c>
      <c r="H65" s="14">
        <v>0.00907775030510609</v>
      </c>
      <c r="I65" s="35">
        <v>1246.5613816</v>
      </c>
      <c r="J65" s="35">
        <v>1073.0298568</v>
      </c>
      <c r="K65" s="40">
        <v>0.161721059018346</v>
      </c>
      <c r="L65" s="35">
        <v>1072.858426</v>
      </c>
      <c r="M65" s="14">
        <v>0.161906689075116</v>
      </c>
      <c r="N65" s="19">
        <v>0.00355738328795166</v>
      </c>
      <c r="O65" s="13">
        <v>7326599</v>
      </c>
      <c r="P65" s="13">
        <v>7606064</v>
      </c>
      <c r="Q65" s="40">
        <v>-0.0367423939635533</v>
      </c>
      <c r="R65" s="19">
        <v>0.00842106193552479</v>
      </c>
      <c r="S65" s="35">
        <v>2319.4198076</v>
      </c>
      <c r="T65" s="35">
        <v>2444.0980087</v>
      </c>
      <c r="U65" s="14">
        <v>-0.0510119482345618</v>
      </c>
      <c r="V65" s="19">
        <v>0.00323537407595026</v>
      </c>
      <c r="W65" s="13">
        <v>393209</v>
      </c>
      <c r="X65" s="19">
        <v>0.0124289288266032</v>
      </c>
      <c r="Y65" s="13">
        <v>278876</v>
      </c>
      <c r="Z65" s="43">
        <v>0.409977911329767</v>
      </c>
    </row>
    <row r="66" customFormat="1" spans="1:26">
      <c r="A66" s="11"/>
      <c r="B66" s="12" t="s">
        <v>92</v>
      </c>
      <c r="C66" s="13">
        <v>4109785</v>
      </c>
      <c r="D66" s="13">
        <v>7282843</v>
      </c>
      <c r="E66" s="14">
        <v>-0.43568946907135</v>
      </c>
      <c r="F66" s="13">
        <v>5681856</v>
      </c>
      <c r="G66" s="14">
        <v>-0.276682654400252</v>
      </c>
      <c r="H66" s="14">
        <v>0.0096264739728337</v>
      </c>
      <c r="I66" s="35">
        <v>1872.4675287</v>
      </c>
      <c r="J66" s="35">
        <v>3099.73952475</v>
      </c>
      <c r="K66" s="40">
        <v>-0.395927459791636</v>
      </c>
      <c r="L66" s="35">
        <v>2454.2580479</v>
      </c>
      <c r="M66" s="14">
        <v>-0.237053524057021</v>
      </c>
      <c r="N66" s="19">
        <v>0.00534356734626242</v>
      </c>
      <c r="O66" s="13">
        <v>9791641</v>
      </c>
      <c r="P66" s="13">
        <v>14419181</v>
      </c>
      <c r="Q66" s="40">
        <v>-0.320929461943782</v>
      </c>
      <c r="R66" s="19">
        <v>0.0112543371503509</v>
      </c>
      <c r="S66" s="35">
        <v>4326.7255766</v>
      </c>
      <c r="T66" s="35">
        <v>5562.52045885</v>
      </c>
      <c r="U66" s="14">
        <v>-0.222164554969653</v>
      </c>
      <c r="V66" s="19">
        <v>0.00603537820898732</v>
      </c>
      <c r="W66" s="13">
        <v>188312</v>
      </c>
      <c r="X66" s="19">
        <v>0.00595234708563462</v>
      </c>
      <c r="Y66" s="13">
        <v>193129</v>
      </c>
      <c r="Z66" s="43">
        <v>-0.0249418782264704</v>
      </c>
    </row>
    <row r="67" customFormat="1" spans="1:26">
      <c r="A67" s="11"/>
      <c r="B67" s="12" t="s">
        <v>93</v>
      </c>
      <c r="C67" s="13">
        <v>6535773</v>
      </c>
      <c r="D67" s="13">
        <v>7686121</v>
      </c>
      <c r="E67" s="14">
        <v>-0.14966561156141</v>
      </c>
      <c r="F67" s="13">
        <v>7724982</v>
      </c>
      <c r="G67" s="14">
        <v>-0.153943271324127</v>
      </c>
      <c r="H67" s="14">
        <v>0.0153089391967826</v>
      </c>
      <c r="I67" s="35">
        <v>3391.9219152</v>
      </c>
      <c r="J67" s="35">
        <v>3983.6570718</v>
      </c>
      <c r="K67" s="40">
        <v>-0.148540686593946</v>
      </c>
      <c r="L67" s="35">
        <v>4059.237562</v>
      </c>
      <c r="M67" s="14">
        <v>-0.16439433184374</v>
      </c>
      <c r="N67" s="19">
        <v>0.00967972096141942</v>
      </c>
      <c r="O67" s="13">
        <v>14260755</v>
      </c>
      <c r="P67" s="13">
        <v>15420104</v>
      </c>
      <c r="Q67" s="40">
        <v>-0.0751842529726129</v>
      </c>
      <c r="R67" s="19">
        <v>0.016391056901346</v>
      </c>
      <c r="S67" s="35">
        <v>7451.1594772</v>
      </c>
      <c r="T67" s="35">
        <v>7425.9294726</v>
      </c>
      <c r="U67" s="14">
        <v>0.0033975551064811</v>
      </c>
      <c r="V67" s="19">
        <v>0.0103936717834831</v>
      </c>
      <c r="W67" s="13">
        <v>513596</v>
      </c>
      <c r="X67" s="19">
        <v>0.0162342370841667</v>
      </c>
      <c r="Y67" s="13">
        <v>403637</v>
      </c>
      <c r="Z67" s="43">
        <v>0.272420516454141</v>
      </c>
    </row>
    <row r="68" customFormat="1" spans="1:26">
      <c r="A68" s="11"/>
      <c r="B68" s="12" t="s">
        <v>94</v>
      </c>
      <c r="C68" s="13">
        <v>31506</v>
      </c>
      <c r="D68" s="13">
        <v>49350</v>
      </c>
      <c r="E68" s="14">
        <v>-0.361580547112462</v>
      </c>
      <c r="F68" s="13">
        <v>47067</v>
      </c>
      <c r="G68" s="14">
        <v>-0.330613805851233</v>
      </c>
      <c r="H68" s="14">
        <v>7.37974587449462e-5</v>
      </c>
      <c r="I68" s="35">
        <v>4.04909725</v>
      </c>
      <c r="J68" s="35">
        <v>6.1303689</v>
      </c>
      <c r="K68" s="40">
        <v>-0.339501860972836</v>
      </c>
      <c r="L68" s="35">
        <v>6.12349635</v>
      </c>
      <c r="M68" s="14">
        <v>-0.338760567726965</v>
      </c>
      <c r="N68" s="19">
        <v>1.1555139683497e-5</v>
      </c>
      <c r="O68" s="13">
        <v>78573</v>
      </c>
      <c r="P68" s="13">
        <v>110171</v>
      </c>
      <c r="Q68" s="40">
        <v>-0.286808688311806</v>
      </c>
      <c r="R68" s="19">
        <v>9.03104017921534e-5</v>
      </c>
      <c r="S68" s="35">
        <v>10.1725936</v>
      </c>
      <c r="T68" s="35">
        <v>14.1321645</v>
      </c>
      <c r="U68" s="14">
        <v>-0.280181489537572</v>
      </c>
      <c r="V68" s="19">
        <v>1.41898182945472e-5</v>
      </c>
      <c r="W68" s="13">
        <v>1551</v>
      </c>
      <c r="X68" s="19">
        <v>4.90255019851061e-5</v>
      </c>
      <c r="Y68" s="13">
        <v>1053</v>
      </c>
      <c r="Z68" s="43">
        <v>0.472934472934473</v>
      </c>
    </row>
    <row r="69" customFormat="1" spans="1:26">
      <c r="A69" s="11"/>
      <c r="B69" s="12" t="s">
        <v>95</v>
      </c>
      <c r="C69" s="13">
        <v>15510960</v>
      </c>
      <c r="D69" s="13">
        <v>6161190</v>
      </c>
      <c r="E69" s="14">
        <v>1.51752664663807</v>
      </c>
      <c r="F69" s="13">
        <v>15330122</v>
      </c>
      <c r="G69" s="14">
        <v>0.0117962531544107</v>
      </c>
      <c r="H69" s="14">
        <v>0.0363317917442554</v>
      </c>
      <c r="I69" s="35">
        <v>11385.4694665</v>
      </c>
      <c r="J69" s="35">
        <v>6442.686482</v>
      </c>
      <c r="K69" s="40">
        <v>0.767192847007141</v>
      </c>
      <c r="L69" s="35">
        <v>11164.214572</v>
      </c>
      <c r="M69" s="14">
        <v>0.0198182230440922</v>
      </c>
      <c r="N69" s="19">
        <v>0.0324913633644136</v>
      </c>
      <c r="O69" s="13">
        <v>30841082</v>
      </c>
      <c r="P69" s="13">
        <v>15084831</v>
      </c>
      <c r="Q69" s="40">
        <v>1.04450961366422</v>
      </c>
      <c r="R69" s="19">
        <v>0.0354481883996379</v>
      </c>
      <c r="S69" s="35">
        <v>22549.6840385</v>
      </c>
      <c r="T69" s="35">
        <v>15694.147512</v>
      </c>
      <c r="U69" s="14">
        <v>0.436821211299189</v>
      </c>
      <c r="V69" s="19">
        <v>0.0314547038530828</v>
      </c>
      <c r="W69" s="13">
        <v>982392</v>
      </c>
      <c r="X69" s="19">
        <v>0.0310523926151853</v>
      </c>
      <c r="Y69" s="13">
        <v>995981</v>
      </c>
      <c r="Z69" s="43">
        <v>-0.0136438345711414</v>
      </c>
    </row>
    <row r="70" customFormat="1" spans="1:26">
      <c r="A70" s="11"/>
      <c r="B70" s="12" t="s">
        <v>96</v>
      </c>
      <c r="C70" s="13">
        <v>643139</v>
      </c>
      <c r="D70" s="13">
        <v>3697322</v>
      </c>
      <c r="E70" s="14">
        <v>-0.826052748448742</v>
      </c>
      <c r="F70" s="13">
        <v>672777</v>
      </c>
      <c r="G70" s="14">
        <v>-0.0440532301193412</v>
      </c>
      <c r="H70" s="14">
        <v>0.00150644397320402</v>
      </c>
      <c r="I70" s="35">
        <v>2065.9570425</v>
      </c>
      <c r="J70" s="35">
        <v>9551.2450435</v>
      </c>
      <c r="K70" s="40">
        <v>-0.783697619201387</v>
      </c>
      <c r="L70" s="35">
        <v>2049.269175</v>
      </c>
      <c r="M70" s="14">
        <v>0.00814332626654579</v>
      </c>
      <c r="N70" s="19">
        <v>0.00589573940368854</v>
      </c>
      <c r="O70" s="13">
        <v>1315916</v>
      </c>
      <c r="P70" s="13">
        <v>10265889</v>
      </c>
      <c r="Q70" s="40">
        <v>-0.871816654164096</v>
      </c>
      <c r="R70" s="19">
        <v>0.00151249032981715</v>
      </c>
      <c r="S70" s="35">
        <v>4115.2262175</v>
      </c>
      <c r="T70" s="35">
        <v>27918.0834825</v>
      </c>
      <c r="U70" s="14">
        <v>-0.852596392582623</v>
      </c>
      <c r="V70" s="19">
        <v>0.00574035634995599</v>
      </c>
      <c r="W70" s="13">
        <v>36037</v>
      </c>
      <c r="X70" s="19">
        <v>0.00113909220827677</v>
      </c>
      <c r="Y70" s="13">
        <v>27630</v>
      </c>
      <c r="Z70" s="43">
        <v>0.304270720231632</v>
      </c>
    </row>
    <row r="71" customFormat="1" spans="1:26">
      <c r="A71" s="11"/>
      <c r="B71" s="12" t="s">
        <v>97</v>
      </c>
      <c r="C71" s="13">
        <v>1607141</v>
      </c>
      <c r="D71" s="13">
        <v>5444706</v>
      </c>
      <c r="E71" s="14">
        <v>-0.704825017181828</v>
      </c>
      <c r="F71" s="13">
        <v>2351955</v>
      </c>
      <c r="G71" s="14">
        <v>-0.316678677950896</v>
      </c>
      <c r="H71" s="14">
        <v>0.00376445507664608</v>
      </c>
      <c r="I71" s="35">
        <v>687.9614249</v>
      </c>
      <c r="J71" s="35">
        <v>2443.388694</v>
      </c>
      <c r="K71" s="40">
        <v>-0.718439629933067</v>
      </c>
      <c r="L71" s="35">
        <v>962.4902861</v>
      </c>
      <c r="M71" s="14">
        <v>-0.285227669478502</v>
      </c>
      <c r="N71" s="19">
        <v>0.00196327474267928</v>
      </c>
      <c r="O71" s="13">
        <v>3959096</v>
      </c>
      <c r="P71" s="13">
        <v>14696597</v>
      </c>
      <c r="Q71" s="40">
        <v>-0.730611378947113</v>
      </c>
      <c r="R71" s="19">
        <v>0.00455051417781817</v>
      </c>
      <c r="S71" s="35">
        <v>1650.451711</v>
      </c>
      <c r="T71" s="35">
        <v>6445.2419413</v>
      </c>
      <c r="U71" s="14">
        <v>-0.743927113049986</v>
      </c>
      <c r="V71" s="19">
        <v>0.00230222604027104</v>
      </c>
      <c r="W71" s="13">
        <v>223894</v>
      </c>
      <c r="X71" s="19">
        <v>0.00707705721563723</v>
      </c>
      <c r="Y71" s="13">
        <v>203741</v>
      </c>
      <c r="Z71" s="43">
        <v>0.0989147986904944</v>
      </c>
    </row>
    <row r="72" customFormat="1" spans="1:26">
      <c r="A72" s="11"/>
      <c r="B72" s="12" t="s">
        <v>98</v>
      </c>
      <c r="C72" s="13">
        <v>881498</v>
      </c>
      <c r="D72" s="13">
        <v>2746214</v>
      </c>
      <c r="E72" s="14">
        <v>-0.6790133616681</v>
      </c>
      <c r="F72" s="13">
        <v>847133</v>
      </c>
      <c r="G72" s="14">
        <v>0.0405662393036277</v>
      </c>
      <c r="H72" s="14">
        <v>0.00206475948355083</v>
      </c>
      <c r="I72" s="35">
        <v>1318.4741874</v>
      </c>
      <c r="J72" s="35">
        <v>2484.8375178</v>
      </c>
      <c r="K72" s="40">
        <v>-0.469392192465229</v>
      </c>
      <c r="L72" s="35">
        <v>1156.2278286</v>
      </c>
      <c r="M72" s="14">
        <v>0.140323865925674</v>
      </c>
      <c r="N72" s="19">
        <v>0.00376260496200535</v>
      </c>
      <c r="O72" s="13">
        <v>1728631</v>
      </c>
      <c r="P72" s="13">
        <v>7708758</v>
      </c>
      <c r="Q72" s="40">
        <v>-0.77575752150995</v>
      </c>
      <c r="R72" s="19">
        <v>0.00198685757398053</v>
      </c>
      <c r="S72" s="35">
        <v>2474.702016</v>
      </c>
      <c r="T72" s="35">
        <v>7466.7328275</v>
      </c>
      <c r="U72" s="14">
        <v>-0.668569631032509</v>
      </c>
      <c r="V72" s="19">
        <v>0.0034519782585426</v>
      </c>
      <c r="W72" s="13">
        <v>50353</v>
      </c>
      <c r="X72" s="19">
        <v>0.00159160612601937</v>
      </c>
      <c r="Y72" s="13">
        <v>32823</v>
      </c>
      <c r="Z72" s="43">
        <v>0.534076714498979</v>
      </c>
    </row>
    <row r="73" customFormat="1" spans="1:26">
      <c r="A73" s="11"/>
      <c r="B73" s="12" t="s">
        <v>99</v>
      </c>
      <c r="C73" s="13">
        <v>10017038</v>
      </c>
      <c r="D73" s="13">
        <v>7732722</v>
      </c>
      <c r="E73" s="14">
        <v>0.295409042249288</v>
      </c>
      <c r="F73" s="13">
        <v>10442118</v>
      </c>
      <c r="G73" s="14">
        <v>-0.0407082164748569</v>
      </c>
      <c r="H73" s="14">
        <v>0.0234632117232133</v>
      </c>
      <c r="I73" s="35">
        <v>4476.7502302</v>
      </c>
      <c r="J73" s="35">
        <v>3284.438386</v>
      </c>
      <c r="K73" s="40">
        <v>0.363018484159197</v>
      </c>
      <c r="L73" s="35">
        <v>4605.71924065</v>
      </c>
      <c r="M73" s="14">
        <v>-0.0280019262380828</v>
      </c>
      <c r="N73" s="19">
        <v>0.0127755573759283</v>
      </c>
      <c r="O73" s="13">
        <v>20459156</v>
      </c>
      <c r="P73" s="13">
        <v>15559477</v>
      </c>
      <c r="Q73" s="40">
        <v>0.314899980249979</v>
      </c>
      <c r="R73" s="19">
        <v>0.0235153882209963</v>
      </c>
      <c r="S73" s="35">
        <v>9082.46947085</v>
      </c>
      <c r="T73" s="35">
        <v>6294.891521</v>
      </c>
      <c r="U73" s="14">
        <v>0.442831769308579</v>
      </c>
      <c r="V73" s="19">
        <v>0.0126691969152423</v>
      </c>
      <c r="W73" s="13">
        <v>623019</v>
      </c>
      <c r="X73" s="19">
        <v>0.0196929846687678</v>
      </c>
      <c r="Y73" s="13">
        <v>536861</v>
      </c>
      <c r="Z73" s="43">
        <v>0.160484743723236</v>
      </c>
    </row>
    <row r="74" customFormat="1" spans="1:26">
      <c r="A74" s="11"/>
      <c r="B74" s="12" t="s">
        <v>100</v>
      </c>
      <c r="C74" s="13">
        <v>600417</v>
      </c>
      <c r="D74" s="13">
        <v>164661</v>
      </c>
      <c r="E74" s="14">
        <v>2.64638256782116</v>
      </c>
      <c r="F74" s="13">
        <v>507525</v>
      </c>
      <c r="G74" s="14">
        <v>0.183029407418354</v>
      </c>
      <c r="H74" s="14">
        <v>0.0014063749377028</v>
      </c>
      <c r="I74" s="35">
        <v>1379.891192</v>
      </c>
      <c r="J74" s="35">
        <v>717.5153232</v>
      </c>
      <c r="K74" s="40">
        <v>0.923152227392041</v>
      </c>
      <c r="L74" s="35">
        <v>1163.487796</v>
      </c>
      <c r="M74" s="14">
        <v>0.185995415460293</v>
      </c>
      <c r="N74" s="19">
        <v>0.00393787416975159</v>
      </c>
      <c r="O74" s="13">
        <v>1107942</v>
      </c>
      <c r="P74" s="13">
        <v>518601</v>
      </c>
      <c r="Q74" s="40">
        <v>1.1364054446482</v>
      </c>
      <c r="R74" s="19">
        <v>0.00127344873152867</v>
      </c>
      <c r="S74" s="35">
        <v>2543.378988</v>
      </c>
      <c r="T74" s="35">
        <v>2192.5300584</v>
      </c>
      <c r="U74" s="14">
        <v>0.160020122987975</v>
      </c>
      <c r="V74" s="19">
        <v>0.00354777622236764</v>
      </c>
      <c r="W74" s="13">
        <v>103474</v>
      </c>
      <c r="X74" s="19">
        <v>0.00327070586228683</v>
      </c>
      <c r="Y74" s="13">
        <v>114200</v>
      </c>
      <c r="Z74" s="43">
        <v>-0.093922942206655</v>
      </c>
    </row>
    <row r="75" customFormat="1" spans="1:26">
      <c r="A75" s="11"/>
      <c r="B75" s="12" t="s">
        <v>101</v>
      </c>
      <c r="C75" s="13">
        <v>32099229</v>
      </c>
      <c r="D75" s="13">
        <v>28577276</v>
      </c>
      <c r="E75" s="14">
        <v>0.123243132060592</v>
      </c>
      <c r="F75" s="13">
        <v>21235802</v>
      </c>
      <c r="G75" s="14">
        <v>0.511561889680456</v>
      </c>
      <c r="H75" s="14">
        <v>0.0751869970123811</v>
      </c>
      <c r="I75" s="35">
        <v>12183.9433273</v>
      </c>
      <c r="J75" s="35">
        <v>9995.7581579</v>
      </c>
      <c r="K75" s="40">
        <v>0.218911375688957</v>
      </c>
      <c r="L75" s="35">
        <v>6913.1995559</v>
      </c>
      <c r="M75" s="14">
        <v>0.762417420295894</v>
      </c>
      <c r="N75" s="19">
        <v>0.0347700137463389</v>
      </c>
      <c r="O75" s="13">
        <v>53335031</v>
      </c>
      <c r="P75" s="13">
        <v>71105094</v>
      </c>
      <c r="Q75" s="40">
        <v>-0.249912657453206</v>
      </c>
      <c r="R75" s="19">
        <v>0.0613023313250984</v>
      </c>
      <c r="S75" s="35">
        <v>19097.1428832</v>
      </c>
      <c r="T75" s="35">
        <v>25183.2095811</v>
      </c>
      <c r="U75" s="14">
        <v>-0.241671605769727</v>
      </c>
      <c r="V75" s="19">
        <v>0.0266387312924418</v>
      </c>
      <c r="W75" s="13">
        <v>2541733</v>
      </c>
      <c r="X75" s="19">
        <v>0.0803415449626755</v>
      </c>
      <c r="Y75" s="13">
        <v>2109990</v>
      </c>
      <c r="Z75" s="43">
        <v>0.204618505300973</v>
      </c>
    </row>
    <row r="76" customFormat="1" spans="1:26">
      <c r="A76" s="11"/>
      <c r="B76" s="12" t="s">
        <v>102</v>
      </c>
      <c r="C76" s="13">
        <v>16165779</v>
      </c>
      <c r="D76" s="13">
        <v>9482156</v>
      </c>
      <c r="E76" s="14">
        <v>0.70486321887132</v>
      </c>
      <c r="F76" s="13">
        <v>14526728</v>
      </c>
      <c r="G76" s="14">
        <v>0.112830019258294</v>
      </c>
      <c r="H76" s="14">
        <v>0.0378655941354795</v>
      </c>
      <c r="I76" s="35">
        <v>16969.1826322</v>
      </c>
      <c r="J76" s="35">
        <v>6563.8666726</v>
      </c>
      <c r="K76" s="40">
        <v>1.58524182141536</v>
      </c>
      <c r="L76" s="35">
        <v>13310.2972048</v>
      </c>
      <c r="M76" s="14">
        <v>0.274891339472159</v>
      </c>
      <c r="N76" s="19">
        <v>0.0484259239833873</v>
      </c>
      <c r="O76" s="13">
        <v>30692507</v>
      </c>
      <c r="P76" s="13">
        <v>24476393</v>
      </c>
      <c r="Q76" s="40">
        <v>0.253963645705476</v>
      </c>
      <c r="R76" s="19">
        <v>0.0352774189502562</v>
      </c>
      <c r="S76" s="35">
        <v>30279.479837</v>
      </c>
      <c r="T76" s="35">
        <v>16815.6487364</v>
      </c>
      <c r="U76" s="14">
        <v>0.800672713355121</v>
      </c>
      <c r="V76" s="19">
        <v>0.0422370472895363</v>
      </c>
      <c r="W76" s="13">
        <v>698918</v>
      </c>
      <c r="X76" s="19">
        <v>0.022092073369714</v>
      </c>
      <c r="Y76" s="13">
        <v>682702</v>
      </c>
      <c r="Z76" s="43">
        <v>0.0237526768634044</v>
      </c>
    </row>
    <row r="77" customFormat="1" spans="1:26">
      <c r="A77" s="11"/>
      <c r="B77" s="12" t="s">
        <v>103</v>
      </c>
      <c r="C77" s="13">
        <v>3972511</v>
      </c>
      <c r="D77" s="13">
        <v>2139961</v>
      </c>
      <c r="E77" s="14">
        <v>0.856347382031729</v>
      </c>
      <c r="F77" s="13">
        <v>5025151</v>
      </c>
      <c r="G77" s="14">
        <v>-0.209474302364247</v>
      </c>
      <c r="H77" s="14">
        <v>0.0093049329218671</v>
      </c>
      <c r="I77" s="35">
        <v>4266.9717286</v>
      </c>
      <c r="J77" s="35">
        <v>1557.310606</v>
      </c>
      <c r="K77" s="40">
        <v>1.73996190108783</v>
      </c>
      <c r="L77" s="35">
        <v>4781.0398782</v>
      </c>
      <c r="M77" s="14">
        <v>-0.107522246769784</v>
      </c>
      <c r="N77" s="19">
        <v>0.0121769005052931</v>
      </c>
      <c r="O77" s="13">
        <v>8997662</v>
      </c>
      <c r="P77" s="13">
        <v>4461735</v>
      </c>
      <c r="Q77" s="40">
        <v>1.01662850886482</v>
      </c>
      <c r="R77" s="19">
        <v>0.0103417518792714</v>
      </c>
      <c r="S77" s="35">
        <v>9048.0116068</v>
      </c>
      <c r="T77" s="35">
        <v>3283.176639</v>
      </c>
      <c r="U77" s="14">
        <v>1.75587109731503</v>
      </c>
      <c r="V77" s="19">
        <v>0.0126211314120959</v>
      </c>
      <c r="W77" s="13">
        <v>111246</v>
      </c>
      <c r="X77" s="19">
        <v>0.00351637072458744</v>
      </c>
      <c r="Y77" s="13">
        <v>110050</v>
      </c>
      <c r="Z77" s="43">
        <v>0.0108677873693777</v>
      </c>
    </row>
    <row r="78" customFormat="1" spans="1:26">
      <c r="A78" s="11"/>
      <c r="B78" s="12" t="s">
        <v>104</v>
      </c>
      <c r="C78" s="13">
        <v>11859735</v>
      </c>
      <c r="D78" s="13">
        <v>10721757</v>
      </c>
      <c r="E78" s="14">
        <v>0.106137268360027</v>
      </c>
      <c r="F78" s="13">
        <v>13142790</v>
      </c>
      <c r="G78" s="14">
        <v>-0.097624248732575</v>
      </c>
      <c r="H78" s="14">
        <v>0.0277794167583474</v>
      </c>
      <c r="I78" s="35">
        <v>5066.0075935</v>
      </c>
      <c r="J78" s="35">
        <v>4702.86673325</v>
      </c>
      <c r="K78" s="40">
        <v>0.0772169148835407</v>
      </c>
      <c r="L78" s="35">
        <v>5527.6163481</v>
      </c>
      <c r="M78" s="14">
        <v>-0.0835095501442802</v>
      </c>
      <c r="N78" s="19">
        <v>0.0144571547103614</v>
      </c>
      <c r="O78" s="13">
        <v>25002525</v>
      </c>
      <c r="P78" s="13">
        <v>23749173</v>
      </c>
      <c r="Q78" s="40">
        <v>0.0527745534549771</v>
      </c>
      <c r="R78" s="19">
        <v>0.0287374553417632</v>
      </c>
      <c r="S78" s="35">
        <v>10593.6239416</v>
      </c>
      <c r="T78" s="35">
        <v>9933.71468095</v>
      </c>
      <c r="U78" s="14">
        <v>0.0664312678433896</v>
      </c>
      <c r="V78" s="19">
        <v>0.0147771163110329</v>
      </c>
      <c r="W78" s="13">
        <v>685000</v>
      </c>
      <c r="X78" s="19">
        <v>0.0216521398193409</v>
      </c>
      <c r="Y78" s="13">
        <v>569272</v>
      </c>
      <c r="Z78" s="43">
        <v>0.203291221068312</v>
      </c>
    </row>
    <row r="79" customFormat="1" spans="1:26">
      <c r="A79" s="11"/>
      <c r="B79" s="12" t="s">
        <v>105</v>
      </c>
      <c r="C79" s="13">
        <v>211140</v>
      </c>
      <c r="D79" s="13">
        <v>424221</v>
      </c>
      <c r="E79" s="14">
        <v>-0.502287722672852</v>
      </c>
      <c r="F79" s="13">
        <v>263503</v>
      </c>
      <c r="G79" s="14">
        <v>-0.198718800165463</v>
      </c>
      <c r="H79" s="14">
        <v>0.000494559621640574</v>
      </c>
      <c r="I79" s="35">
        <v>72.9006324</v>
      </c>
      <c r="J79" s="35">
        <v>154.833714</v>
      </c>
      <c r="K79" s="40">
        <v>-0.529168224951318</v>
      </c>
      <c r="L79" s="35">
        <v>89.016199</v>
      </c>
      <c r="M79" s="14">
        <v>-0.181040830557144</v>
      </c>
      <c r="N79" s="19">
        <v>0.000208040691143506</v>
      </c>
      <c r="O79" s="13">
        <v>474643</v>
      </c>
      <c r="P79" s="13">
        <v>1131060</v>
      </c>
      <c r="Q79" s="40">
        <v>-0.580355595635952</v>
      </c>
      <c r="R79" s="19">
        <v>0.000545546180466993</v>
      </c>
      <c r="S79" s="35">
        <v>161.9168314</v>
      </c>
      <c r="T79" s="35">
        <v>415.2000983</v>
      </c>
      <c r="U79" s="14">
        <v>-0.610026991653051</v>
      </c>
      <c r="V79" s="19">
        <v>0.000225858862227115</v>
      </c>
      <c r="W79" s="13">
        <v>25398</v>
      </c>
      <c r="X79" s="19">
        <v>0.000802804448367327</v>
      </c>
      <c r="Y79" s="13">
        <v>22607</v>
      </c>
      <c r="Z79" s="43">
        <v>0.123457336223294</v>
      </c>
    </row>
    <row r="80" customFormat="1" spans="1:26">
      <c r="A80" s="11"/>
      <c r="B80" s="12" t="s">
        <v>106</v>
      </c>
      <c r="C80" s="13">
        <v>17838468</v>
      </c>
      <c r="D80" s="13">
        <v>6882363</v>
      </c>
      <c r="E80" s="14">
        <v>1.59191036566947</v>
      </c>
      <c r="F80" s="13">
        <v>20590477</v>
      </c>
      <c r="G80" s="14">
        <v>-0.133654455892401</v>
      </c>
      <c r="H80" s="14">
        <v>0.0417835842792815</v>
      </c>
      <c r="I80" s="35">
        <v>7870.47861365</v>
      </c>
      <c r="J80" s="35">
        <v>2776.75939525</v>
      </c>
      <c r="K80" s="40">
        <v>1.83441144634766</v>
      </c>
      <c r="L80" s="35">
        <v>8867.60194585</v>
      </c>
      <c r="M80" s="14">
        <v>-0.112445657607201</v>
      </c>
      <c r="N80" s="19">
        <v>0.0224604335587894</v>
      </c>
      <c r="O80" s="13">
        <v>38428945</v>
      </c>
      <c r="P80" s="13">
        <v>13753553</v>
      </c>
      <c r="Q80" s="40">
        <v>1.79411036551791</v>
      </c>
      <c r="R80" s="19">
        <v>0.0441695425069498</v>
      </c>
      <c r="S80" s="35">
        <v>16738.0805595</v>
      </c>
      <c r="T80" s="35">
        <v>5247.871077</v>
      </c>
      <c r="U80" s="14">
        <v>2.18949919194061</v>
      </c>
      <c r="V80" s="19">
        <v>0.0233480596078071</v>
      </c>
      <c r="W80" s="13">
        <v>701465</v>
      </c>
      <c r="X80" s="19">
        <v>0.022172581399086</v>
      </c>
      <c r="Y80" s="13">
        <v>597512</v>
      </c>
      <c r="Z80" s="43">
        <v>0.173976422230851</v>
      </c>
    </row>
    <row r="81" customFormat="1" spans="1:26">
      <c r="A81" s="11"/>
      <c r="B81" s="12" t="s">
        <v>107</v>
      </c>
      <c r="C81" s="13">
        <v>15286050</v>
      </c>
      <c r="D81" s="13">
        <v>9270189</v>
      </c>
      <c r="E81" s="14">
        <v>0.648946963217255</v>
      </c>
      <c r="F81" s="13">
        <v>13890812</v>
      </c>
      <c r="G81" s="14">
        <v>0.100443228228847</v>
      </c>
      <c r="H81" s="14">
        <v>0.0358049782342469</v>
      </c>
      <c r="I81" s="35">
        <v>15433.4054496</v>
      </c>
      <c r="J81" s="35">
        <v>7407.4693338</v>
      </c>
      <c r="K81" s="40">
        <v>1.08349231756897</v>
      </c>
      <c r="L81" s="35">
        <v>12785.6441804</v>
      </c>
      <c r="M81" s="14">
        <v>0.207088609055689</v>
      </c>
      <c r="N81" s="19">
        <v>0.0440431890743479</v>
      </c>
      <c r="O81" s="13">
        <v>29176862</v>
      </c>
      <c r="P81" s="13">
        <v>24374114</v>
      </c>
      <c r="Q81" s="40">
        <v>0.197042977644234</v>
      </c>
      <c r="R81" s="19">
        <v>0.0335353636777801</v>
      </c>
      <c r="S81" s="35">
        <v>28219.04963</v>
      </c>
      <c r="T81" s="35">
        <v>19190.473958</v>
      </c>
      <c r="U81" s="14">
        <v>0.470471739872596</v>
      </c>
      <c r="V81" s="19">
        <v>0.0393629395255217</v>
      </c>
      <c r="W81" s="13">
        <v>766503</v>
      </c>
      <c r="X81" s="19">
        <v>0.0242283651502836</v>
      </c>
      <c r="Y81" s="13">
        <v>754771</v>
      </c>
      <c r="Z81" s="43">
        <v>0.015543787453413</v>
      </c>
    </row>
    <row r="82" customFormat="1" spans="1:26">
      <c r="A82" s="11"/>
      <c r="B82" s="12" t="s">
        <v>108</v>
      </c>
      <c r="C82" s="13">
        <v>2441300</v>
      </c>
      <c r="D82" s="13">
        <v>845989</v>
      </c>
      <c r="E82" s="14">
        <v>1.88573492090323</v>
      </c>
      <c r="F82" s="13">
        <v>2571102</v>
      </c>
      <c r="G82" s="14">
        <v>-0.0504849671463832</v>
      </c>
      <c r="H82" s="14">
        <v>0.0057183309856547</v>
      </c>
      <c r="I82" s="35">
        <v>6.2740925</v>
      </c>
      <c r="J82" s="35">
        <v>3.05878265</v>
      </c>
      <c r="K82" s="40">
        <v>1.05117303774428</v>
      </c>
      <c r="L82" s="35">
        <v>8.01240725</v>
      </c>
      <c r="M82" s="14">
        <v>-0.21695287018767</v>
      </c>
      <c r="N82" s="19">
        <v>1.7904735487566e-5</v>
      </c>
      <c r="O82" s="13">
        <v>5012402</v>
      </c>
      <c r="P82" s="13">
        <v>2022941</v>
      </c>
      <c r="Q82" s="40">
        <v>1.47777962876821</v>
      </c>
      <c r="R82" s="19">
        <v>0.00576116526750656</v>
      </c>
      <c r="S82" s="35">
        <v>14.28649975</v>
      </c>
      <c r="T82" s="35">
        <v>8.89622635</v>
      </c>
      <c r="U82" s="14">
        <v>0.605905604009277</v>
      </c>
      <c r="V82" s="19">
        <v>1.99283332735905e-5</v>
      </c>
      <c r="W82" s="13">
        <v>617434</v>
      </c>
      <c r="X82" s="19">
        <v>0.0195164486090729</v>
      </c>
      <c r="Y82" s="13">
        <v>630108</v>
      </c>
      <c r="Z82" s="43">
        <v>-0.020114012201083</v>
      </c>
    </row>
    <row r="83" customFormat="1" spans="1:26">
      <c r="A83" s="11"/>
      <c r="B83" s="12" t="s">
        <v>109</v>
      </c>
      <c r="C83" s="13">
        <v>2538822</v>
      </c>
      <c r="D83" s="13">
        <v>691897</v>
      </c>
      <c r="E83" s="14">
        <v>2.66936408164799</v>
      </c>
      <c r="F83" s="13">
        <v>1575755</v>
      </c>
      <c r="G83" s="14">
        <v>0.611178133656565</v>
      </c>
      <c r="H83" s="14">
        <v>0.0059467597221406</v>
      </c>
      <c r="I83" s="35">
        <v>43.7080377</v>
      </c>
      <c r="J83" s="35">
        <v>23.4797777</v>
      </c>
      <c r="K83" s="40">
        <v>0.861518378004064</v>
      </c>
      <c r="L83" s="35">
        <v>30.8491504</v>
      </c>
      <c r="M83" s="14">
        <v>0.416831164984044</v>
      </c>
      <c r="N83" s="19">
        <v>0.000124732119218686</v>
      </c>
      <c r="O83" s="13">
        <v>4114577</v>
      </c>
      <c r="P83" s="13">
        <v>1367944</v>
      </c>
      <c r="Q83" s="40">
        <v>2.00785485370746</v>
      </c>
      <c r="R83" s="19">
        <v>0.00472922126016256</v>
      </c>
      <c r="S83" s="35">
        <v>74.5571881</v>
      </c>
      <c r="T83" s="35">
        <v>45.4186643</v>
      </c>
      <c r="U83" s="14">
        <v>0.64155395692691</v>
      </c>
      <c r="V83" s="19">
        <v>0.000104000316270511</v>
      </c>
      <c r="W83" s="13">
        <v>313843</v>
      </c>
      <c r="X83" s="19">
        <v>0.00992025185010423</v>
      </c>
      <c r="Y83" s="13">
        <v>244220</v>
      </c>
      <c r="Z83" s="43">
        <v>0.285083121775448</v>
      </c>
    </row>
    <row r="84" customFormat="1" spans="1:26">
      <c r="A84" s="11"/>
      <c r="B84" s="12" t="s">
        <v>110</v>
      </c>
      <c r="C84" s="13">
        <v>391028</v>
      </c>
      <c r="D84" s="13">
        <v>173480</v>
      </c>
      <c r="E84" s="14">
        <v>1.25402351856122</v>
      </c>
      <c r="F84" s="13">
        <v>382556</v>
      </c>
      <c r="G84" s="14">
        <v>0.0221457773502443</v>
      </c>
      <c r="H84" s="14">
        <v>0.000915916736434927</v>
      </c>
      <c r="I84" s="35">
        <v>2.72809805</v>
      </c>
      <c r="J84" s="35">
        <v>2.231079675</v>
      </c>
      <c r="K84" s="40">
        <v>0.222770338759865</v>
      </c>
      <c r="L84" s="35">
        <v>3.0555095</v>
      </c>
      <c r="M84" s="14">
        <v>-0.107154453291669</v>
      </c>
      <c r="N84" s="19">
        <v>7.78532894907027e-6</v>
      </c>
      <c r="O84" s="13">
        <v>773584</v>
      </c>
      <c r="P84" s="13">
        <v>291027</v>
      </c>
      <c r="Q84" s="40">
        <v>1.6581176316974</v>
      </c>
      <c r="R84" s="19">
        <v>0.000889143622618217</v>
      </c>
      <c r="S84" s="35">
        <v>5.78360755</v>
      </c>
      <c r="T84" s="35">
        <v>3.30479775</v>
      </c>
      <c r="U84" s="14">
        <v>0.750063994082543</v>
      </c>
      <c r="V84" s="19">
        <v>8.06759253819706e-6</v>
      </c>
      <c r="W84" s="13">
        <v>37846</v>
      </c>
      <c r="X84" s="19">
        <v>0.00119627282277777</v>
      </c>
      <c r="Y84" s="13">
        <v>26800</v>
      </c>
      <c r="Z84" s="43">
        <v>0.412164179104478</v>
      </c>
    </row>
    <row r="85" customFormat="1" spans="1:26">
      <c r="A85" s="11"/>
      <c r="B85" s="12" t="s">
        <v>111</v>
      </c>
      <c r="C85" s="13">
        <v>4780157</v>
      </c>
      <c r="D85" s="13">
        <v>2573888</v>
      </c>
      <c r="E85" s="14">
        <v>0.857173661013999</v>
      </c>
      <c r="F85" s="13">
        <v>4063600</v>
      </c>
      <c r="G85" s="14">
        <v>0.176335515306625</v>
      </c>
      <c r="H85" s="14">
        <v>0.0111967066273683</v>
      </c>
      <c r="I85" s="35">
        <v>42.18298635</v>
      </c>
      <c r="J85" s="35">
        <v>19.63501415</v>
      </c>
      <c r="K85" s="40">
        <v>1.14835528142464</v>
      </c>
      <c r="L85" s="35">
        <v>23.16707165</v>
      </c>
      <c r="M85" s="14">
        <v>0.820816501424339</v>
      </c>
      <c r="N85" s="19">
        <v>0.000120379993229676</v>
      </c>
      <c r="O85" s="13">
        <v>8843757</v>
      </c>
      <c r="P85" s="13">
        <v>5636712</v>
      </c>
      <c r="Q85" s="40">
        <v>0.568956689644601</v>
      </c>
      <c r="R85" s="19">
        <v>0.0101648562231577</v>
      </c>
      <c r="S85" s="35">
        <v>65.350058</v>
      </c>
      <c r="T85" s="35">
        <v>50.63337265</v>
      </c>
      <c r="U85" s="14">
        <v>0.290651887871032</v>
      </c>
      <c r="V85" s="19">
        <v>9.11572294167064e-5</v>
      </c>
      <c r="W85" s="13">
        <v>524014</v>
      </c>
      <c r="X85" s="19">
        <v>0.0165635392632001</v>
      </c>
      <c r="Y85" s="13">
        <v>486913</v>
      </c>
      <c r="Z85" s="43">
        <v>0.0761963636214273</v>
      </c>
    </row>
    <row r="86" customFormat="1" ht="22.5" spans="1:26">
      <c r="A86" s="11"/>
      <c r="B86" s="12" t="s">
        <v>112</v>
      </c>
      <c r="C86" s="13">
        <v>253213</v>
      </c>
      <c r="D86" s="13">
        <v>185327</v>
      </c>
      <c r="E86" s="14">
        <v>0.366303884485261</v>
      </c>
      <c r="F86" s="13">
        <v>259078</v>
      </c>
      <c r="G86" s="14">
        <v>-0.022637970032191</v>
      </c>
      <c r="H86" s="14">
        <v>0.000593108484770648</v>
      </c>
      <c r="I86" s="35">
        <v>2.85764072</v>
      </c>
      <c r="J86" s="35">
        <v>2.401419</v>
      </c>
      <c r="K86" s="40">
        <v>0.189980057624263</v>
      </c>
      <c r="L86" s="35">
        <v>3.0230016</v>
      </c>
      <c r="M86" s="14">
        <v>-0.054700890664431</v>
      </c>
      <c r="N86" s="19">
        <v>8.15501225238514e-6</v>
      </c>
      <c r="O86" s="13">
        <v>512291</v>
      </c>
      <c r="P86" s="13">
        <v>351488</v>
      </c>
      <c r="Q86" s="40">
        <v>0.457492147669337</v>
      </c>
      <c r="R86" s="19">
        <v>0.000588818118749495</v>
      </c>
      <c r="S86" s="35">
        <v>5.88064232</v>
      </c>
      <c r="T86" s="35">
        <v>4.31828244</v>
      </c>
      <c r="U86" s="14">
        <v>0.361801225766974</v>
      </c>
      <c r="V86" s="19">
        <v>8.20294698256935e-6</v>
      </c>
      <c r="W86" s="13">
        <v>18274</v>
      </c>
      <c r="X86" s="19">
        <v>0.000577622194246182</v>
      </c>
      <c r="Y86" s="13">
        <v>14850</v>
      </c>
      <c r="Z86" s="43">
        <v>0.230572390572391</v>
      </c>
    </row>
    <row r="87" customFormat="1" spans="1:26">
      <c r="A87" s="11"/>
      <c r="B87" s="92" t="s">
        <v>113</v>
      </c>
      <c r="C87" s="13">
        <v>283534</v>
      </c>
      <c r="D87" s="13">
        <v>229648</v>
      </c>
      <c r="E87" s="14">
        <v>0.234646067024316</v>
      </c>
      <c r="F87" s="13">
        <v>351196</v>
      </c>
      <c r="G87" s="14">
        <v>-0.192661647626966</v>
      </c>
      <c r="H87" s="14">
        <v>0.000664130282098317</v>
      </c>
      <c r="I87" s="35">
        <v>1.83827175</v>
      </c>
      <c r="J87" s="35">
        <v>2.3135201</v>
      </c>
      <c r="K87" s="40">
        <v>-0.2054221832782</v>
      </c>
      <c r="L87" s="35">
        <v>2.294934775</v>
      </c>
      <c r="M87" s="14">
        <v>-0.198987365555956</v>
      </c>
      <c r="N87" s="19">
        <v>5.24598090289793e-6</v>
      </c>
      <c r="O87" s="13">
        <v>634730</v>
      </c>
      <c r="P87" s="13">
        <v>434692</v>
      </c>
      <c r="Q87" s="40">
        <v>0.460183302200178</v>
      </c>
      <c r="R87" s="19">
        <v>0.000729547316884089</v>
      </c>
      <c r="S87" s="35">
        <v>4.133206525</v>
      </c>
      <c r="T87" s="35">
        <v>3.85788505</v>
      </c>
      <c r="U87" s="14">
        <v>0.0713659094119459</v>
      </c>
      <c r="V87" s="19">
        <v>5.76543720016366e-6</v>
      </c>
      <c r="W87" s="13">
        <v>35195</v>
      </c>
      <c r="X87" s="19">
        <v>0.00111247746122876</v>
      </c>
      <c r="Y87" s="13">
        <v>29434</v>
      </c>
      <c r="Z87" s="43">
        <v>0.195726031120473</v>
      </c>
    </row>
    <row r="88" customFormat="1" ht="22.5" spans="1:26">
      <c r="A88" s="11"/>
      <c r="B88" s="92" t="s">
        <v>114</v>
      </c>
      <c r="C88" s="13">
        <v>413845</v>
      </c>
      <c r="D88" s="13">
        <v>227715</v>
      </c>
      <c r="E88" s="14">
        <v>0.81738137584261</v>
      </c>
      <c r="F88" s="13">
        <v>315680</v>
      </c>
      <c r="G88" s="14">
        <v>0.310963634059807</v>
      </c>
      <c r="H88" s="14">
        <v>0.000969361687116811</v>
      </c>
      <c r="I88" s="35">
        <v>3.069288875</v>
      </c>
      <c r="J88" s="35">
        <v>2.580109075</v>
      </c>
      <c r="K88" s="40">
        <v>0.189596558044741</v>
      </c>
      <c r="L88" s="35">
        <v>3.3443264</v>
      </c>
      <c r="M88" s="14">
        <v>-0.082240036439027</v>
      </c>
      <c r="N88" s="19">
        <v>8.75900465952711e-6</v>
      </c>
      <c r="O88" s="13">
        <v>729525</v>
      </c>
      <c r="P88" s="13">
        <v>474469</v>
      </c>
      <c r="Q88" s="40">
        <v>0.537560936541692</v>
      </c>
      <c r="R88" s="19">
        <v>0.000838502995525444</v>
      </c>
      <c r="S88" s="35">
        <v>6.413615275</v>
      </c>
      <c r="T88" s="35">
        <v>4.358886625</v>
      </c>
      <c r="U88" s="14">
        <v>0.471388413319881</v>
      </c>
      <c r="V88" s="19">
        <v>8.94639449308013e-6</v>
      </c>
      <c r="W88" s="13">
        <v>64678</v>
      </c>
      <c r="X88" s="19">
        <v>0.00204440452443114</v>
      </c>
      <c r="Y88" s="13">
        <v>43661</v>
      </c>
      <c r="Z88" s="43">
        <v>0.481367811089989</v>
      </c>
    </row>
    <row r="89" customFormat="1" spans="1:26">
      <c r="A89" s="11"/>
      <c r="B89" s="12" t="s">
        <v>115</v>
      </c>
      <c r="C89" s="13">
        <v>1788292</v>
      </c>
      <c r="D89" s="13" t="s">
        <v>84</v>
      </c>
      <c r="E89" s="14" t="s">
        <v>84</v>
      </c>
      <c r="F89" s="13">
        <v>1819359</v>
      </c>
      <c r="G89" s="14">
        <v>-0.0170757942769953</v>
      </c>
      <c r="H89" s="14">
        <v>0.00418877055462189</v>
      </c>
      <c r="I89" s="35">
        <v>32.98570215</v>
      </c>
      <c r="J89" s="35" t="s">
        <v>84</v>
      </c>
      <c r="K89" s="40" t="s">
        <v>84</v>
      </c>
      <c r="L89" s="35">
        <v>26.9035417</v>
      </c>
      <c r="M89" s="14">
        <v>0.226072853820581</v>
      </c>
      <c r="N89" s="19">
        <v>9.41331789206787e-5</v>
      </c>
      <c r="O89" s="13">
        <v>3607651</v>
      </c>
      <c r="P89" s="13" t="s">
        <v>84</v>
      </c>
      <c r="Q89" s="40" t="s">
        <v>84</v>
      </c>
      <c r="R89" s="19">
        <v>0.00414656957651947</v>
      </c>
      <c r="S89" s="35">
        <v>59.88924385</v>
      </c>
      <c r="T89" s="35" t="s">
        <v>84</v>
      </c>
      <c r="U89" s="14" t="s">
        <v>84</v>
      </c>
      <c r="V89" s="19">
        <v>8.3539903533483e-5</v>
      </c>
      <c r="W89" s="13">
        <v>343898</v>
      </c>
      <c r="X89" s="19">
        <v>0.0108702592402798</v>
      </c>
      <c r="Y89" s="13">
        <v>268339</v>
      </c>
      <c r="Z89" s="43">
        <v>0.281580388985574</v>
      </c>
    </row>
    <row r="90" customFormat="1" ht="22.5" spans="1:26">
      <c r="A90" s="45"/>
      <c r="B90" s="53" t="s">
        <v>116</v>
      </c>
      <c r="C90" s="76">
        <v>169650267</v>
      </c>
      <c r="D90" s="76">
        <v>134069528</v>
      </c>
      <c r="E90" s="93">
        <v>0.265390201120123</v>
      </c>
      <c r="F90" s="76">
        <v>162360913</v>
      </c>
      <c r="G90" s="93">
        <v>0.0448959904530717</v>
      </c>
      <c r="H90" s="93">
        <v>0.397376962483387</v>
      </c>
      <c r="I90" s="84">
        <v>95589.734709495</v>
      </c>
      <c r="J90" s="84">
        <v>72019.6106499</v>
      </c>
      <c r="K90" s="93">
        <v>0.327273694579849</v>
      </c>
      <c r="L90" s="84">
        <v>86540.217254025</v>
      </c>
      <c r="M90" s="93">
        <v>0.104570080161766</v>
      </c>
      <c r="N90" s="95">
        <v>0.272789876033883</v>
      </c>
      <c r="O90" s="76">
        <v>332011180</v>
      </c>
      <c r="P90" s="76">
        <v>315913149</v>
      </c>
      <c r="Q90" s="93">
        <v>0.050957141388249</v>
      </c>
      <c r="R90" s="95">
        <v>0.381607715949333</v>
      </c>
      <c r="S90" s="84">
        <v>182129.95196352</v>
      </c>
      <c r="T90" s="84">
        <v>175329.588315065</v>
      </c>
      <c r="U90" s="93">
        <v>0.0387861724527341</v>
      </c>
      <c r="V90" s="95">
        <v>0.254054278188893</v>
      </c>
      <c r="W90" s="76">
        <v>12616914</v>
      </c>
      <c r="X90" s="95">
        <v>0.398807570827152</v>
      </c>
      <c r="Y90" s="76">
        <v>11137812</v>
      </c>
      <c r="Z90" s="97">
        <v>0.132800050853794</v>
      </c>
    </row>
    <row r="91" customFormat="1" ht="22.5" spans="1:26">
      <c r="A91" s="49" t="s">
        <v>117</v>
      </c>
      <c r="B91" s="4" t="s">
        <v>118</v>
      </c>
      <c r="C91" s="13">
        <v>1512088</v>
      </c>
      <c r="D91" s="13">
        <v>1053928</v>
      </c>
      <c r="E91" s="14">
        <v>0.4347</v>
      </c>
      <c r="F91" s="13">
        <v>1274370</v>
      </c>
      <c r="G91" s="14">
        <v>0.1865</v>
      </c>
      <c r="H91" s="40">
        <v>0.00354180955369543</v>
      </c>
      <c r="I91" s="35">
        <v>15192.026445</v>
      </c>
      <c r="J91" s="35">
        <v>10225.877903</v>
      </c>
      <c r="K91" s="14">
        <v>0.4856</v>
      </c>
      <c r="L91" s="35">
        <v>12857.4638375</v>
      </c>
      <c r="M91" s="14">
        <v>0.1816</v>
      </c>
      <c r="N91" s="26">
        <v>0.0433543520465841</v>
      </c>
      <c r="O91" s="13">
        <v>2786458</v>
      </c>
      <c r="P91" s="13">
        <v>2305664</v>
      </c>
      <c r="Q91" s="14">
        <v>0.2085</v>
      </c>
      <c r="R91" s="26">
        <v>0.00320270502026091</v>
      </c>
      <c r="S91" s="35">
        <v>28049.4902825</v>
      </c>
      <c r="T91" s="35">
        <v>22487.8176325</v>
      </c>
      <c r="U91" s="14">
        <v>0.2473</v>
      </c>
      <c r="V91" s="26">
        <v>0.0391264200668885</v>
      </c>
      <c r="W91" s="13">
        <v>168171</v>
      </c>
      <c r="X91" s="26">
        <v>0.00531571095701952</v>
      </c>
      <c r="Y91" s="13">
        <v>168727</v>
      </c>
      <c r="Z91" s="43">
        <v>-0.0033</v>
      </c>
    </row>
    <row r="92" customFormat="1" ht="22.5" spans="1:26">
      <c r="A92" s="50"/>
      <c r="B92" s="4" t="s">
        <v>119</v>
      </c>
      <c r="C92" s="13">
        <v>323826</v>
      </c>
      <c r="D92" s="13">
        <v>132725</v>
      </c>
      <c r="E92" s="14">
        <v>1.4398</v>
      </c>
      <c r="F92" s="13">
        <v>268359</v>
      </c>
      <c r="G92" s="14">
        <v>0.2067</v>
      </c>
      <c r="H92" s="40">
        <v>0.000758507454946389</v>
      </c>
      <c r="I92" s="35">
        <v>6556.219853</v>
      </c>
      <c r="J92" s="35">
        <v>2659.08707</v>
      </c>
      <c r="K92" s="14">
        <v>1.4656</v>
      </c>
      <c r="L92" s="35">
        <v>5431.341956</v>
      </c>
      <c r="M92" s="14">
        <v>0.2071</v>
      </c>
      <c r="N92" s="26">
        <v>0.018709858400445</v>
      </c>
      <c r="O92" s="13">
        <v>592185</v>
      </c>
      <c r="P92" s="13">
        <v>317348</v>
      </c>
      <c r="Q92" s="14">
        <v>0.866</v>
      </c>
      <c r="R92" s="26">
        <v>0.000680646854330194</v>
      </c>
      <c r="S92" s="35">
        <v>11987.561809</v>
      </c>
      <c r="T92" s="35">
        <v>6367.107194</v>
      </c>
      <c r="U92" s="14">
        <v>0.8827</v>
      </c>
      <c r="V92" s="26">
        <v>0.0167215294892311</v>
      </c>
      <c r="W92" s="13">
        <v>34235</v>
      </c>
      <c r="X92" s="26">
        <v>0.00108213285651844</v>
      </c>
      <c r="Y92" s="13">
        <v>52023</v>
      </c>
      <c r="Z92" s="43">
        <v>-0.3419</v>
      </c>
    </row>
    <row r="93" customFormat="1" ht="22.5" spans="1:26">
      <c r="A93" s="51"/>
      <c r="B93" s="4" t="s">
        <v>120</v>
      </c>
      <c r="C93" s="13">
        <v>784943</v>
      </c>
      <c r="D93" s="13">
        <v>461580</v>
      </c>
      <c r="E93" s="14">
        <v>0.7006</v>
      </c>
      <c r="F93" s="13">
        <v>675832</v>
      </c>
      <c r="G93" s="14">
        <v>0.1614</v>
      </c>
      <c r="H93" s="40">
        <v>0.00183859578047465</v>
      </c>
      <c r="I93" s="35">
        <v>7987.232872</v>
      </c>
      <c r="J93" s="35">
        <v>4584.9009025</v>
      </c>
      <c r="K93" s="14">
        <v>0.7421</v>
      </c>
      <c r="L93" s="35">
        <v>6895.0124855</v>
      </c>
      <c r="M93" s="14">
        <v>0.1584</v>
      </c>
      <c r="N93" s="26">
        <v>0.0227936218426414</v>
      </c>
      <c r="O93" s="13">
        <v>1460775</v>
      </c>
      <c r="P93" s="13">
        <v>1014636</v>
      </c>
      <c r="Q93" s="14">
        <v>0.4397</v>
      </c>
      <c r="R93" s="26">
        <v>0.00167898867521837</v>
      </c>
      <c r="S93" s="35">
        <v>14882.2453575</v>
      </c>
      <c r="T93" s="35">
        <v>10106.4431255</v>
      </c>
      <c r="U93" s="14">
        <v>0.4726</v>
      </c>
      <c r="V93" s="26">
        <v>0.0207593427734883</v>
      </c>
      <c r="W93" s="13">
        <v>91453</v>
      </c>
      <c r="X93" s="26">
        <v>0.00289073451517983</v>
      </c>
      <c r="Y93" s="13">
        <v>107883</v>
      </c>
      <c r="Z93" s="43">
        <v>-0.1523</v>
      </c>
    </row>
    <row r="94" customFormat="1" ht="22.5" spans="1:26">
      <c r="A94" s="51"/>
      <c r="B94" s="4" t="s">
        <v>121</v>
      </c>
      <c r="C94" s="13">
        <v>1501564</v>
      </c>
      <c r="D94" s="13">
        <v>2084419</v>
      </c>
      <c r="E94" s="14">
        <v>-0.2796</v>
      </c>
      <c r="F94" s="13">
        <v>1894001</v>
      </c>
      <c r="G94" s="14">
        <v>-0.2072</v>
      </c>
      <c r="H94" s="40">
        <v>0.00351715886951363</v>
      </c>
      <c r="I94" s="35">
        <v>20691.6160632</v>
      </c>
      <c r="J94" s="35">
        <v>34673.2953522</v>
      </c>
      <c r="K94" s="14">
        <v>-0.4032</v>
      </c>
      <c r="L94" s="35">
        <v>27199.3079196</v>
      </c>
      <c r="M94" s="14">
        <v>-0.2393</v>
      </c>
      <c r="N94" s="26">
        <v>0.0590488445017137</v>
      </c>
      <c r="O94" s="13">
        <v>3395565</v>
      </c>
      <c r="P94" s="13">
        <v>4948724</v>
      </c>
      <c r="Q94" s="14">
        <v>-0.3139</v>
      </c>
      <c r="R94" s="26">
        <v>0.00390280171892855</v>
      </c>
      <c r="S94" s="35">
        <v>47890.9239828</v>
      </c>
      <c r="T94" s="35">
        <v>81625.4704158</v>
      </c>
      <c r="U94" s="14">
        <v>-0.4133</v>
      </c>
      <c r="V94" s="26">
        <v>0.0668033675575031</v>
      </c>
      <c r="W94" s="13">
        <v>203209</v>
      </c>
      <c r="X94" s="26">
        <v>0.00642322581101962</v>
      </c>
      <c r="Y94" s="13">
        <v>208396</v>
      </c>
      <c r="Z94" s="43">
        <v>-0.0249</v>
      </c>
    </row>
    <row r="95" customFormat="1" ht="22.5" spans="1:26">
      <c r="A95" s="51"/>
      <c r="B95" s="4" t="s">
        <v>122</v>
      </c>
      <c r="C95" s="13">
        <v>1942889</v>
      </c>
      <c r="D95" s="13">
        <v>2017073</v>
      </c>
      <c r="E95" s="14">
        <v>-0.0368</v>
      </c>
      <c r="F95" s="13">
        <v>2776523</v>
      </c>
      <c r="G95" s="14">
        <v>-0.3002</v>
      </c>
      <c r="H95" s="40">
        <v>0.00455088779354757</v>
      </c>
      <c r="I95" s="35">
        <v>115.2240652</v>
      </c>
      <c r="J95" s="35">
        <v>227.728846</v>
      </c>
      <c r="K95" s="14">
        <v>-0.494</v>
      </c>
      <c r="L95" s="35">
        <v>174.88771</v>
      </c>
      <c r="M95" s="14">
        <v>-0.3412</v>
      </c>
      <c r="N95" s="26">
        <v>0.000328821484415166</v>
      </c>
      <c r="O95" s="13">
        <v>4719412</v>
      </c>
      <c r="P95" s="13">
        <v>4834413</v>
      </c>
      <c r="Q95" s="14">
        <v>-0.0238</v>
      </c>
      <c r="R95" s="26">
        <v>0.00542440779838762</v>
      </c>
      <c r="S95" s="35">
        <v>290.1117752</v>
      </c>
      <c r="T95" s="35">
        <v>544.5823106</v>
      </c>
      <c r="U95" s="14">
        <v>-0.4673</v>
      </c>
      <c r="V95" s="26">
        <v>0.000404678839740193</v>
      </c>
      <c r="W95" s="13">
        <v>176064</v>
      </c>
      <c r="X95" s="26">
        <v>0.00556520050387216</v>
      </c>
      <c r="Y95" s="13">
        <v>185242</v>
      </c>
      <c r="Z95" s="43">
        <v>-0.0495</v>
      </c>
    </row>
    <row r="96" customFormat="1" ht="22.5" spans="1:26">
      <c r="A96" s="51"/>
      <c r="B96" s="4" t="s">
        <v>123</v>
      </c>
      <c r="C96" s="13">
        <v>840909</v>
      </c>
      <c r="D96" s="13">
        <v>799199</v>
      </c>
      <c r="E96" s="14">
        <v>0.0522</v>
      </c>
      <c r="F96" s="13">
        <v>1142050</v>
      </c>
      <c r="G96" s="14">
        <v>-0.2637</v>
      </c>
      <c r="H96" s="40">
        <v>0.00196968663860071</v>
      </c>
      <c r="I96" s="35">
        <v>7864.225896</v>
      </c>
      <c r="J96" s="35">
        <v>9263.4504702</v>
      </c>
      <c r="K96" s="14">
        <v>-0.151</v>
      </c>
      <c r="L96" s="35">
        <v>10972.862352</v>
      </c>
      <c r="M96" s="14">
        <v>-0.2833</v>
      </c>
      <c r="N96" s="26">
        <v>0.0224425898219299</v>
      </c>
      <c r="O96" s="13">
        <v>1982959</v>
      </c>
      <c r="P96" s="13">
        <v>1944739</v>
      </c>
      <c r="Q96" s="14">
        <v>0.0197</v>
      </c>
      <c r="R96" s="26">
        <v>0.00227917763134113</v>
      </c>
      <c r="S96" s="35">
        <v>18837.088248</v>
      </c>
      <c r="T96" s="35">
        <v>22311.5435592</v>
      </c>
      <c r="U96" s="14">
        <v>-0.1557</v>
      </c>
      <c r="V96" s="26">
        <v>0.0262759793566775</v>
      </c>
      <c r="W96" s="13">
        <v>103130</v>
      </c>
      <c r="X96" s="26">
        <v>0.0032598323789323</v>
      </c>
      <c r="Y96" s="13">
        <v>119724</v>
      </c>
      <c r="Z96" s="43">
        <v>-0.1386</v>
      </c>
    </row>
    <row r="97" customFormat="1" ht="22.5" spans="1:26">
      <c r="A97" s="51"/>
      <c r="B97" s="4" t="s">
        <v>124</v>
      </c>
      <c r="C97" s="13">
        <v>1353858</v>
      </c>
      <c r="D97" s="13">
        <v>1620314</v>
      </c>
      <c r="E97" s="14">
        <v>-0.1644</v>
      </c>
      <c r="F97" s="13">
        <v>1683461</v>
      </c>
      <c r="G97" s="14">
        <v>-0.1958</v>
      </c>
      <c r="H97" s="40">
        <v>0.00317118262875374</v>
      </c>
      <c r="I97" s="35">
        <v>18272.1755184</v>
      </c>
      <c r="J97" s="35">
        <v>20715.7321552</v>
      </c>
      <c r="K97" s="14">
        <v>-0.118</v>
      </c>
      <c r="L97" s="35">
        <v>23608.5019604</v>
      </c>
      <c r="M97" s="14">
        <v>-0.226</v>
      </c>
      <c r="N97" s="26">
        <v>0.0521443490734846</v>
      </c>
      <c r="O97" s="13">
        <v>3037319</v>
      </c>
      <c r="P97" s="13">
        <v>3845589</v>
      </c>
      <c r="Q97" s="14">
        <v>-0.2102</v>
      </c>
      <c r="R97" s="26">
        <v>0.00349104016979041</v>
      </c>
      <c r="S97" s="35">
        <v>41880.6774788</v>
      </c>
      <c r="T97" s="35">
        <v>49268.7858056</v>
      </c>
      <c r="U97" s="14">
        <v>-0.15</v>
      </c>
      <c r="V97" s="26">
        <v>0.0584196348389172</v>
      </c>
      <c r="W97" s="13">
        <v>301140</v>
      </c>
      <c r="X97" s="26">
        <v>0.0095187231900676</v>
      </c>
      <c r="Y97" s="13">
        <v>314211</v>
      </c>
      <c r="Z97" s="43">
        <v>-0.0416</v>
      </c>
    </row>
    <row r="98" customFormat="1" spans="1:26">
      <c r="A98" s="94"/>
      <c r="B98" s="53" t="s">
        <v>125</v>
      </c>
      <c r="C98" s="76">
        <v>8260077</v>
      </c>
      <c r="D98" s="76">
        <v>8169238</v>
      </c>
      <c r="E98" s="77">
        <v>0.0111</v>
      </c>
      <c r="F98" s="76">
        <v>9714596</v>
      </c>
      <c r="G98" s="77">
        <v>-0.1497</v>
      </c>
      <c r="H98" s="93">
        <v>0.0193478287195321</v>
      </c>
      <c r="I98" s="84">
        <v>76678.7207128</v>
      </c>
      <c r="J98" s="84">
        <v>82350.0726991</v>
      </c>
      <c r="K98" s="77">
        <v>-0.0689</v>
      </c>
      <c r="L98" s="84">
        <v>87139.378221</v>
      </c>
      <c r="M98" s="93">
        <v>-0.12</v>
      </c>
      <c r="N98" s="95">
        <v>0.218822437171214</v>
      </c>
      <c r="O98" s="76">
        <v>17974673</v>
      </c>
      <c r="P98" s="76">
        <v>19211113</v>
      </c>
      <c r="Q98" s="77">
        <v>-0.0644</v>
      </c>
      <c r="R98" s="95">
        <v>0.0206597678682572</v>
      </c>
      <c r="S98" s="84">
        <v>163818.0989338</v>
      </c>
      <c r="T98" s="84">
        <v>192711.7500432</v>
      </c>
      <c r="U98" s="77">
        <v>-0.1499</v>
      </c>
      <c r="V98" s="95">
        <v>0.228510952922446</v>
      </c>
      <c r="W98" s="76">
        <v>1077402</v>
      </c>
      <c r="X98" s="95">
        <v>0.0340555602126095</v>
      </c>
      <c r="Y98" s="76">
        <v>1156206</v>
      </c>
      <c r="Z98" s="90">
        <v>-0.0682</v>
      </c>
    </row>
    <row r="99" customFormat="1" ht="14.25" spans="1:26">
      <c r="A99" s="55" t="s">
        <v>126</v>
      </c>
      <c r="B99" s="56"/>
      <c r="C99" s="57">
        <v>426925270</v>
      </c>
      <c r="D99" s="57">
        <v>441372443</v>
      </c>
      <c r="E99" s="58">
        <v>-0.0327323856056868</v>
      </c>
      <c r="F99" s="59">
        <v>443107400</v>
      </c>
      <c r="G99" s="60">
        <v>-0.0365196564083561</v>
      </c>
      <c r="H99" s="60">
        <v>1</v>
      </c>
      <c r="I99" s="66">
        <v>350415.257704145</v>
      </c>
      <c r="J99" s="66">
        <v>350419.3685674</v>
      </c>
      <c r="K99" s="96">
        <v>-1.17312672293026e-5</v>
      </c>
      <c r="L99" s="66">
        <v>366478.601599825</v>
      </c>
      <c r="M99" s="60">
        <v>-0.0438316011509462</v>
      </c>
      <c r="N99" s="67">
        <v>1</v>
      </c>
      <c r="O99" s="57">
        <v>870032670</v>
      </c>
      <c r="P99" s="57">
        <v>1048585678</v>
      </c>
      <c r="Q99" s="58">
        <v>-0.170279846221588</v>
      </c>
      <c r="R99" s="67">
        <v>1</v>
      </c>
      <c r="S99" s="66">
        <v>716893.85930397</v>
      </c>
      <c r="T99" s="66">
        <v>812763.447962865</v>
      </c>
      <c r="U99" s="60">
        <v>-0.117955093698155</v>
      </c>
      <c r="V99" s="67">
        <v>1</v>
      </c>
      <c r="W99" s="57">
        <v>31636596</v>
      </c>
      <c r="X99" s="67">
        <v>1</v>
      </c>
      <c r="Y99" s="57">
        <v>28165329</v>
      </c>
      <c r="Z99" s="69">
        <v>0.123246101616637</v>
      </c>
    </row>
    <row r="100" customFormat="1" spans="1:26">
      <c r="A100" s="61" t="s">
        <v>127</v>
      </c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</row>
  </sheetData>
  <mergeCells count="7">
    <mergeCell ref="A99:B99"/>
    <mergeCell ref="A100:Z100"/>
    <mergeCell ref="A3:A24"/>
    <mergeCell ref="A25:A30"/>
    <mergeCell ref="A31:A60"/>
    <mergeCell ref="A61:A90"/>
    <mergeCell ref="A91:A9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"/>
  <sheetViews>
    <sheetView tabSelected="1" zoomScale="130" zoomScaleNormal="130" workbookViewId="0">
      <selection activeCell="I60" sqref="I60"/>
    </sheetView>
  </sheetViews>
  <sheetFormatPr defaultColWidth="9" defaultRowHeight="13.5"/>
  <cols>
    <col min="1" max="1" width="9.25" style="1" customWidth="1"/>
    <col min="2" max="2" width="9.75" style="1" customWidth="1"/>
    <col min="3" max="3" width="13.1333333333333" style="1" customWidth="1"/>
    <col min="4" max="4" width="13.8833333333333" style="1" customWidth="1"/>
    <col min="5" max="5" width="13.5" style="1" customWidth="1"/>
    <col min="6" max="6" width="14" style="1" customWidth="1"/>
    <col min="7" max="7" width="9.75" style="1" customWidth="1"/>
    <col min="8" max="8" width="9.63333333333333" style="1" customWidth="1"/>
    <col min="9" max="10" width="15.25" style="1" customWidth="1"/>
    <col min="11" max="11" width="12.1333333333333" style="1" customWidth="1"/>
    <col min="12" max="12" width="15.25" style="1" customWidth="1"/>
    <col min="13" max="13" width="9.25" style="1" customWidth="1"/>
    <col min="14" max="14" width="9.63333333333333" style="1" customWidth="1"/>
    <col min="15" max="15" width="16" style="1" customWidth="1"/>
    <col min="16" max="16" width="15.5" style="1" customWidth="1"/>
    <col min="17" max="17" width="13.75" style="1" customWidth="1"/>
    <col min="18" max="18" width="9.63333333333333" style="1" customWidth="1"/>
    <col min="19" max="19" width="14.5" style="1" customWidth="1"/>
    <col min="20" max="20" width="13.75" style="1" customWidth="1"/>
    <col min="21" max="21" width="11.8833333333333" style="1" customWidth="1"/>
    <col min="22" max="22" width="9.63333333333333" style="1" customWidth="1"/>
    <col min="23" max="23" width="11.75" style="1" customWidth="1"/>
    <col min="24" max="24" width="9.63333333333333" style="1" customWidth="1"/>
    <col min="25" max="25" width="12.6333333333333" style="1" customWidth="1"/>
    <col min="26" max="26" width="11.975" style="1" customWidth="1"/>
    <col min="27" max="16384" width="9" style="1"/>
  </cols>
  <sheetData>
    <row r="1" s="1" customFormat="1" ht="14.25" spans="2:26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 t="s">
        <v>0</v>
      </c>
      <c r="N1" s="34" t="s">
        <v>129</v>
      </c>
      <c r="O1" s="6" t="s">
        <v>2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="1" customFormat="1" ht="33.75" spans="1:26">
      <c r="A2" s="7" t="s">
        <v>3</v>
      </c>
      <c r="B2" s="8" t="s">
        <v>4</v>
      </c>
      <c r="C2" s="9" t="s">
        <v>5</v>
      </c>
      <c r="D2" s="9" t="s">
        <v>6</v>
      </c>
      <c r="E2" s="10" t="s">
        <v>7</v>
      </c>
      <c r="F2" s="9" t="s">
        <v>8</v>
      </c>
      <c r="G2" s="10" t="s">
        <v>9</v>
      </c>
      <c r="H2" s="10" t="s">
        <v>10</v>
      </c>
      <c r="I2" s="8" t="s">
        <v>11</v>
      </c>
      <c r="J2" s="8" t="s">
        <v>12</v>
      </c>
      <c r="K2" s="10" t="s">
        <v>7</v>
      </c>
      <c r="L2" s="8" t="s">
        <v>13</v>
      </c>
      <c r="M2" s="10" t="s">
        <v>9</v>
      </c>
      <c r="N2" s="10" t="s">
        <v>14</v>
      </c>
      <c r="O2" s="9" t="s">
        <v>15</v>
      </c>
      <c r="P2" s="9" t="s">
        <v>16</v>
      </c>
      <c r="Q2" s="10" t="s">
        <v>7</v>
      </c>
      <c r="R2" s="10" t="s">
        <v>17</v>
      </c>
      <c r="S2" s="8" t="s">
        <v>18</v>
      </c>
      <c r="T2" s="8" t="s">
        <v>19</v>
      </c>
      <c r="U2" s="10" t="s">
        <v>7</v>
      </c>
      <c r="V2" s="10" t="s">
        <v>20</v>
      </c>
      <c r="W2" s="9" t="s">
        <v>21</v>
      </c>
      <c r="X2" s="10" t="s">
        <v>22</v>
      </c>
      <c r="Y2" s="9" t="s">
        <v>23</v>
      </c>
      <c r="Z2" s="42" t="s">
        <v>9</v>
      </c>
    </row>
    <row r="3" s="1" customFormat="1" spans="1:26">
      <c r="A3" s="11" t="s">
        <v>24</v>
      </c>
      <c r="B3" s="12" t="s">
        <v>25</v>
      </c>
      <c r="C3" s="13">
        <f>VLOOKUP($B3,[1]上期所raw!$B:$Z,10,0)</f>
        <v>7214618</v>
      </c>
      <c r="D3" s="13">
        <f>VLOOKUP($B3,[1]上期所raw!$B:$Z,11,0)</f>
        <v>20058189</v>
      </c>
      <c r="E3" s="14">
        <f>VLOOKUP($B3,[1]上期所raw!$B:$Z,12,0)</f>
        <v>-0.640315583824641</v>
      </c>
      <c r="F3" s="13">
        <f>VLOOKUP($B3,[1]上期所raw!$B:$Z,13,0)</f>
        <v>4562470</v>
      </c>
      <c r="G3" s="14">
        <f>VLOOKUP($B3,[1]上期所raw!$B:$Z,14,0)</f>
        <v>0.581296534552556</v>
      </c>
      <c r="H3" s="14">
        <f t="shared" ref="H3:H66" si="0">IFERROR((C3/$C$99),"-")</f>
        <v>0.0108747076709862</v>
      </c>
      <c r="I3" s="35">
        <f>VLOOKUP($B3,[1]上期所raw!$B:$Z,2,0)</f>
        <v>5009.2812014</v>
      </c>
      <c r="J3" s="35">
        <f>VLOOKUP($B3,[1]上期所raw!$B:$Z,3,0)</f>
        <v>14417.8457704</v>
      </c>
      <c r="K3" s="14">
        <f>VLOOKUP($B3,[1]上期所raw!$B:$Z,4,0)</f>
        <v>-0.652563823946285</v>
      </c>
      <c r="L3" s="35">
        <f>VLOOKUP($B3,[1]上期所raw!$B:$Z,5,0)</f>
        <v>2956.5546636</v>
      </c>
      <c r="M3" s="14">
        <f>VLOOKUP($B3,[1]上期所raw!$B:$Z,6,0)</f>
        <v>0.694296832415245</v>
      </c>
      <c r="N3" s="14">
        <f t="shared" ref="N3:N66" si="1">IFERROR((I3/$I$99),"-")</f>
        <v>0.00880055940378717</v>
      </c>
      <c r="O3" s="13">
        <f>VLOOKUP($B3,[1]上期所raw!$B:$Z,15,0)</f>
        <v>18902733</v>
      </c>
      <c r="P3" s="13">
        <f>VLOOKUP($B3,[1]上期所raw!$B:$Z,16,0)</f>
        <v>42535625</v>
      </c>
      <c r="Q3" s="14">
        <f>VLOOKUP($B3,[1]上期所raw!$B:$Z,17,0)</f>
        <v>-0.555602321583379</v>
      </c>
      <c r="R3" s="14">
        <f t="shared" ref="R3:R66" si="2">IFERROR((O3/$O$99),"-")</f>
        <v>0.012326821677853</v>
      </c>
      <c r="S3" s="35">
        <f>VLOOKUP($B3,[1]上期所raw!$B:$Z,7,0)</f>
        <v>12343.1984912</v>
      </c>
      <c r="T3" s="35">
        <f>VLOOKUP($B3,[1]上期所raw!$B:$Z,8,0)</f>
        <v>29083.9728884</v>
      </c>
      <c r="U3" s="14">
        <f>VLOOKUP($B3,[1]上期所raw!$B:$Z,9,0)</f>
        <v>-0.57560136166531</v>
      </c>
      <c r="V3" s="14">
        <f t="shared" ref="V3:V66" si="3">IFERROR((S3/$S$99),"-")</f>
        <v>0.00959742973704857</v>
      </c>
      <c r="W3" s="37">
        <f>VLOOKUP($B3,[1]上期所raw!$B:$Z,18,0)</f>
        <v>290072</v>
      </c>
      <c r="X3" s="14">
        <f t="shared" ref="X3:X66" si="4">IFERROR((W3/$W$99),"-")</f>
        <v>0.00941872481015022</v>
      </c>
      <c r="Y3" s="39">
        <f>VLOOKUP($B3,[1]上期所raw!$B:$Z,21,0)</f>
        <v>380185</v>
      </c>
      <c r="Z3" s="43">
        <f>VLOOKUP($B3,[1]上期所raw!$B:$Z,22,0)</f>
        <v>-0.237024080381919</v>
      </c>
    </row>
    <row r="4" s="1" customFormat="1" spans="1:26">
      <c r="A4" s="11"/>
      <c r="B4" s="12" t="s">
        <v>26</v>
      </c>
      <c r="C4" s="13">
        <f>VLOOKUP($B4,[1]上期所raw!$B:$Z,10,0)</f>
        <v>5981802</v>
      </c>
      <c r="D4" s="13">
        <f>VLOOKUP($B4,[1]上期所raw!$B:$Z,11,0)</f>
        <v>6492899</v>
      </c>
      <c r="E4" s="14">
        <f>VLOOKUP($B4,[1]上期所raw!$B:$Z,12,0)</f>
        <v>-0.0787163022249383</v>
      </c>
      <c r="F4" s="13">
        <f>VLOOKUP($B4,[1]上期所raw!$B:$Z,13,0)</f>
        <v>4022792</v>
      </c>
      <c r="G4" s="14">
        <f>VLOOKUP($B4,[1]上期所raw!$B:$Z,14,0)</f>
        <v>0.486977701059364</v>
      </c>
      <c r="H4" s="14">
        <f t="shared" si="0"/>
        <v>0.00901646464105521</v>
      </c>
      <c r="I4" s="35">
        <f>VLOOKUP($B4,[1]上期所raw!$B:$Z,2,0)</f>
        <v>7775.321027</v>
      </c>
      <c r="J4" s="35">
        <f>VLOOKUP($B4,[1]上期所raw!$B:$Z,3,0)</f>
        <v>7003.75867775</v>
      </c>
      <c r="K4" s="14">
        <f>VLOOKUP($B4,[1]上期所raw!$B:$Z,4,0)</f>
        <v>0.110164039732144</v>
      </c>
      <c r="L4" s="35">
        <f>VLOOKUP($B4,[1]上期所raw!$B:$Z,5,0)</f>
        <v>5058.4529075</v>
      </c>
      <c r="M4" s="14">
        <f>VLOOKUP($B4,[1]上期所raw!$B:$Z,6,0)</f>
        <v>0.537094674830676</v>
      </c>
      <c r="N4" s="14">
        <f t="shared" si="1"/>
        <v>0.0136600785283335</v>
      </c>
      <c r="O4" s="13">
        <f>VLOOKUP($B4,[1]上期所raw!$B:$Z,15,0)</f>
        <v>15252628</v>
      </c>
      <c r="P4" s="13">
        <f>VLOOKUP($B4,[1]上期所raw!$B:$Z,16,0)</f>
        <v>14896436</v>
      </c>
      <c r="Q4" s="14">
        <f>VLOOKUP($B4,[1]上期所raw!$B:$Z,17,0)</f>
        <v>0.0239112227918141</v>
      </c>
      <c r="R4" s="14">
        <f t="shared" si="2"/>
        <v>0.00994652072134898</v>
      </c>
      <c r="S4" s="35">
        <f>VLOOKUP($B4,[1]上期所raw!$B:$Z,7,0)</f>
        <v>19324.7100275</v>
      </c>
      <c r="T4" s="35">
        <f>VLOOKUP($B4,[1]上期所raw!$B:$Z,8,0)</f>
        <v>15687.80683225</v>
      </c>
      <c r="U4" s="14">
        <f>VLOOKUP($B4,[1]上期所raw!$B:$Z,9,0)</f>
        <v>0.231829932261372</v>
      </c>
      <c r="V4" s="14">
        <f t="shared" si="3"/>
        <v>0.0150258903160309</v>
      </c>
      <c r="W4" s="37">
        <f>VLOOKUP($B4,[1]上期所raw!$B:$Z,18,0)</f>
        <v>202685</v>
      </c>
      <c r="X4" s="14">
        <f t="shared" si="4"/>
        <v>0.00658124271954996</v>
      </c>
      <c r="Y4" s="39">
        <f>VLOOKUP($B4,[1]上期所raw!$B:$Z,21,0)</f>
        <v>246584</v>
      </c>
      <c r="Z4" s="43">
        <f>VLOOKUP($B4,[1]上期所raw!$B:$Z,22,0)</f>
        <v>-0.17802858255199</v>
      </c>
    </row>
    <row r="5" s="1" customFormat="1" spans="1:26">
      <c r="A5" s="11"/>
      <c r="B5" s="12" t="s">
        <v>27</v>
      </c>
      <c r="C5" s="13">
        <f>VLOOKUP($B5,[1]上期所raw!$B:$Z,10,0)</f>
        <v>1979</v>
      </c>
      <c r="D5" s="13">
        <f>VLOOKUP($B5,[1]上期所raw!$B:$Z,11,0)</f>
        <v>1213</v>
      </c>
      <c r="E5" s="14">
        <f>VLOOKUP($B5,[1]上期所raw!$B:$Z,12,0)</f>
        <v>0.631492168178071</v>
      </c>
      <c r="F5" s="13">
        <f>VLOOKUP($B5,[1]上期所raw!$B:$Z,13,0)</f>
        <v>476</v>
      </c>
      <c r="G5" s="14">
        <f>VLOOKUP($B5,[1]上期所raw!$B:$Z,14,0)</f>
        <v>3.15756302521008</v>
      </c>
      <c r="H5" s="14">
        <f t="shared" si="0"/>
        <v>2.98297795959282e-6</v>
      </c>
      <c r="I5" s="35">
        <f>VLOOKUP($B5,[1]上期所raw!$B:$Z,2,0)</f>
        <v>1.0894317</v>
      </c>
      <c r="J5" s="35">
        <f>VLOOKUP($B5,[1]上期所raw!$B:$Z,3,0)</f>
        <v>0.6154402</v>
      </c>
      <c r="K5" s="14">
        <f>VLOOKUP($B5,[1]上期所raw!$B:$Z,4,0)</f>
        <v>0.77016662219985</v>
      </c>
      <c r="L5" s="35">
        <f>VLOOKUP($B5,[1]上期所raw!$B:$Z,5,0)</f>
        <v>0.2428192</v>
      </c>
      <c r="M5" s="14">
        <f>VLOOKUP($B5,[1]上期所raw!$B:$Z,6,0)</f>
        <v>3.48659619997101</v>
      </c>
      <c r="N5" s="14">
        <f t="shared" si="1"/>
        <v>1.91396889229123e-6</v>
      </c>
      <c r="O5" s="13">
        <f>VLOOKUP($B5,[1]上期所raw!$B:$Z,15,0)</f>
        <v>6083</v>
      </c>
      <c r="P5" s="13">
        <f>VLOOKUP($B5,[1]上期所raw!$B:$Z,16,0)</f>
        <v>2449</v>
      </c>
      <c r="Q5" s="14">
        <f>VLOOKUP($B5,[1]上期所raw!$B:$Z,17,0)</f>
        <v>1.48387096774194</v>
      </c>
      <c r="R5" s="14">
        <f t="shared" si="2"/>
        <v>3.96683676727485e-6</v>
      </c>
      <c r="S5" s="35">
        <f>VLOOKUP($B5,[1]上期所raw!$B:$Z,7,0)</f>
        <v>3.1419979</v>
      </c>
      <c r="T5" s="35">
        <f>VLOOKUP($B5,[1]上期所raw!$B:$Z,8,0)</f>
        <v>1.2017302</v>
      </c>
      <c r="U5" s="14">
        <f>VLOOKUP($B5,[1]上期所raw!$B:$Z,9,0)</f>
        <v>1.61456182094783</v>
      </c>
      <c r="V5" s="14">
        <f t="shared" si="3"/>
        <v>2.44305429429034e-6</v>
      </c>
      <c r="W5" s="37">
        <f>VLOOKUP($B5,[1]上期所raw!$B:$Z,18,0)</f>
        <v>41</v>
      </c>
      <c r="X5" s="14">
        <f t="shared" si="4"/>
        <v>1.33128229272787e-6</v>
      </c>
      <c r="Y5" s="39">
        <f>VLOOKUP($B5,[1]上期所raw!$B:$Z,21,0)</f>
        <v>20</v>
      </c>
      <c r="Z5" s="43">
        <f>VLOOKUP($B5,[1]上期所raw!$B:$Z,22,0)</f>
        <v>1.05</v>
      </c>
    </row>
    <row r="6" s="1" customFormat="1" spans="1:26">
      <c r="A6" s="11"/>
      <c r="B6" s="12" t="s">
        <v>28</v>
      </c>
      <c r="C6" s="13">
        <f>VLOOKUP($B6,[1]上期所raw!$B:$Z,10,0)</f>
        <v>1730281</v>
      </c>
      <c r="D6" s="13">
        <f>VLOOKUP($B6,[1]上期所raw!$B:$Z,11,0)</f>
        <v>2823707</v>
      </c>
      <c r="E6" s="14">
        <f>VLOOKUP($B6,[1]上期所raw!$B:$Z,12,0)</f>
        <v>-0.387230686469949</v>
      </c>
      <c r="F6" s="13">
        <f>VLOOKUP($B6,[1]上期所raw!$B:$Z,13,0)</f>
        <v>1375615</v>
      </c>
      <c r="G6" s="14">
        <f>VLOOKUP($B6,[1]上期所raw!$B:$Z,14,0)</f>
        <v>0.257823591629926</v>
      </c>
      <c r="H6" s="14">
        <f t="shared" si="0"/>
        <v>0.00260807988221436</v>
      </c>
      <c r="I6" s="35">
        <f>VLOOKUP($B6,[1]上期所raw!$B:$Z,2,0)</f>
        <v>5968.4511168</v>
      </c>
      <c r="J6" s="35">
        <f>VLOOKUP($B6,[1]上期所raw!$B:$Z,3,0)</f>
        <v>4981.7704162</v>
      </c>
      <c r="K6" s="14">
        <f>VLOOKUP($B6,[1]上期所raw!$B:$Z,4,0)</f>
        <v>0.198058243991224</v>
      </c>
      <c r="L6" s="35">
        <f>VLOOKUP($B6,[1]上期所raw!$B:$Z,5,0)</f>
        <v>4572.5792575</v>
      </c>
      <c r="M6" s="14">
        <f>VLOOKUP($B6,[1]上期所raw!$B:$Z,6,0)</f>
        <v>0.305270128890707</v>
      </c>
      <c r="N6" s="14">
        <f t="shared" si="1"/>
        <v>0.0104856777829359</v>
      </c>
      <c r="O6" s="13">
        <f>VLOOKUP($B6,[1]上期所raw!$B:$Z,15,0)</f>
        <v>5708474</v>
      </c>
      <c r="P6" s="13">
        <f>VLOOKUP($B6,[1]上期所raw!$B:$Z,16,0)</f>
        <v>7829918</v>
      </c>
      <c r="Q6" s="14">
        <f>VLOOKUP($B6,[1]上期所raw!$B:$Z,17,0)</f>
        <v>-0.270940768472927</v>
      </c>
      <c r="R6" s="14">
        <f t="shared" si="2"/>
        <v>0.00372260143814442</v>
      </c>
      <c r="S6" s="35">
        <f>VLOOKUP($B6,[1]上期所raw!$B:$Z,7,0)</f>
        <v>18679.1744969</v>
      </c>
      <c r="T6" s="35">
        <f>VLOOKUP($B6,[1]上期所raw!$B:$Z,8,0)</f>
        <v>13601.6713126</v>
      </c>
      <c r="U6" s="14">
        <f>VLOOKUP($B6,[1]上期所raw!$B:$Z,9,0)</f>
        <v>0.373299947308418</v>
      </c>
      <c r="V6" s="14">
        <f t="shared" si="3"/>
        <v>0.0145239554324496</v>
      </c>
      <c r="W6" s="37">
        <f>VLOOKUP($B6,[1]上期所raw!$B:$Z,18,0)</f>
        <v>49715</v>
      </c>
      <c r="X6" s="14">
        <f t="shared" si="4"/>
        <v>0.0016142609556821</v>
      </c>
      <c r="Y6" s="39">
        <f>VLOOKUP($B6,[1]上期所raw!$B:$Z,21,0)</f>
        <v>59400</v>
      </c>
      <c r="Z6" s="43">
        <f>VLOOKUP($B6,[1]上期所raw!$B:$Z,22,0)</f>
        <v>-0.163047138047138</v>
      </c>
    </row>
    <row r="7" s="1" customFormat="1" spans="1:26">
      <c r="A7" s="11"/>
      <c r="B7" s="12" t="s">
        <v>29</v>
      </c>
      <c r="C7" s="13">
        <f>VLOOKUP($B7,[1]上期所raw!$B:$Z,10,0)</f>
        <v>3918307</v>
      </c>
      <c r="D7" s="13">
        <f>VLOOKUP($B7,[1]上期所raw!$B:$Z,11,0)</f>
        <v>7802051</v>
      </c>
      <c r="E7" s="14">
        <f>VLOOKUP($B7,[1]上期所raw!$B:$Z,12,0)</f>
        <v>-0.497785005506885</v>
      </c>
      <c r="F7" s="13">
        <f>VLOOKUP($B7,[1]上期所raw!$B:$Z,13,0)</f>
        <v>2653153</v>
      </c>
      <c r="G7" s="14">
        <f>VLOOKUP($B7,[1]上期所raw!$B:$Z,14,0)</f>
        <v>0.476849243145797</v>
      </c>
      <c r="H7" s="14">
        <f t="shared" si="0"/>
        <v>0.00590612603330888</v>
      </c>
      <c r="I7" s="35">
        <f>VLOOKUP($B7,[1]上期所raw!$B:$Z,2,0)</f>
        <v>14269.549544</v>
      </c>
      <c r="J7" s="35">
        <f>VLOOKUP($B7,[1]上期所raw!$B:$Z,3,0)</f>
        <v>25990.0337225</v>
      </c>
      <c r="K7" s="14">
        <f>VLOOKUP($B7,[1]上期所raw!$B:$Z,4,0)</f>
        <v>-0.450960714543182</v>
      </c>
      <c r="L7" s="35">
        <f>VLOOKUP($B7,[1]上期所raw!$B:$Z,5,0)</f>
        <v>9461.2471255</v>
      </c>
      <c r="M7" s="14">
        <f>VLOOKUP($B7,[1]上期所raw!$B:$Z,6,0)</f>
        <v>0.508210213169534</v>
      </c>
      <c r="N7" s="14">
        <f t="shared" si="1"/>
        <v>0.0250694687278005</v>
      </c>
      <c r="O7" s="13">
        <f>VLOOKUP($B7,[1]上期所raw!$B:$Z,15,0)</f>
        <v>9853878</v>
      </c>
      <c r="P7" s="13">
        <f>VLOOKUP($B7,[1]上期所raw!$B:$Z,16,0)</f>
        <v>18744374</v>
      </c>
      <c r="Q7" s="14">
        <f>VLOOKUP($B7,[1]上期所raw!$B:$Z,17,0)</f>
        <v>-0.474302102593557</v>
      </c>
      <c r="R7" s="14">
        <f t="shared" si="2"/>
        <v>0.00642589603002478</v>
      </c>
      <c r="S7" s="35">
        <f>VLOOKUP($B7,[1]上期所raw!$B:$Z,7,0)</f>
        <v>35295.4633475</v>
      </c>
      <c r="T7" s="35">
        <f>VLOOKUP($B7,[1]上期所raw!$B:$Z,8,0)</f>
        <v>59786.101139</v>
      </c>
      <c r="U7" s="14">
        <f>VLOOKUP($B7,[1]上期所raw!$B:$Z,9,0)</f>
        <v>-0.409637646960125</v>
      </c>
      <c r="V7" s="14">
        <f t="shared" si="3"/>
        <v>0.0274439181834199</v>
      </c>
      <c r="W7" s="37">
        <f>VLOOKUP($B7,[1]上期所raw!$B:$Z,18,0)</f>
        <v>355965</v>
      </c>
      <c r="X7" s="14">
        <f t="shared" si="4"/>
        <v>0.0115582902763628</v>
      </c>
      <c r="Y7" s="39">
        <f>VLOOKUP($B7,[1]上期所raw!$B:$Z,21,0)</f>
        <v>321192</v>
      </c>
      <c r="Z7" s="43">
        <f>VLOOKUP($B7,[1]上期所raw!$B:$Z,22,0)</f>
        <v>0.108262347754614</v>
      </c>
    </row>
    <row r="8" s="1" customFormat="1" spans="1:26">
      <c r="A8" s="11"/>
      <c r="B8" s="12" t="s">
        <v>30</v>
      </c>
      <c r="C8" s="13">
        <f>VLOOKUP($B8,[1]上期所raw!$B:$Z,10,0)</f>
        <v>7949247</v>
      </c>
      <c r="D8" s="13">
        <f>VLOOKUP($B8,[1]上期所raw!$B:$Z,11,0)</f>
        <v>16341393</v>
      </c>
      <c r="E8" s="14">
        <f>VLOOKUP($B8,[1]上期所raw!$B:$Z,12,0)</f>
        <v>-0.513551445706006</v>
      </c>
      <c r="F8" s="13">
        <f>VLOOKUP($B8,[1]上期所raw!$B:$Z,13,0)</f>
        <v>4309182</v>
      </c>
      <c r="G8" s="14">
        <f>VLOOKUP($B8,[1]上期所raw!$B:$Z,14,0)</f>
        <v>0.844722965982871</v>
      </c>
      <c r="H8" s="14">
        <f t="shared" si="0"/>
        <v>0.0119820255666293</v>
      </c>
      <c r="I8" s="35">
        <f>VLOOKUP($B8,[1]上期所raw!$B:$Z,2,0)</f>
        <v>10908.954039</v>
      </c>
      <c r="J8" s="35">
        <f>VLOOKUP($B8,[1]上期所raw!$B:$Z,3,0)</f>
        <v>24566.3541855</v>
      </c>
      <c r="K8" s="14">
        <f>VLOOKUP($B8,[1]上期所raw!$B:$Z,4,0)</f>
        <v>-0.555939234750638</v>
      </c>
      <c r="L8" s="35">
        <f>VLOOKUP($B8,[1]上期所raw!$B:$Z,5,0)</f>
        <v>6175.144555</v>
      </c>
      <c r="M8" s="14">
        <f>VLOOKUP($B8,[1]上期所raw!$B:$Z,6,0)</f>
        <v>0.766590877644645</v>
      </c>
      <c r="N8" s="14">
        <f t="shared" si="1"/>
        <v>0.0191654040157642</v>
      </c>
      <c r="O8" s="13">
        <f>VLOOKUP($B8,[1]上期所raw!$B:$Z,15,0)</f>
        <v>18229191</v>
      </c>
      <c r="P8" s="13">
        <f>VLOOKUP($B8,[1]上期所raw!$B:$Z,16,0)</f>
        <v>37396777</v>
      </c>
      <c r="Q8" s="14">
        <f>VLOOKUP($B8,[1]上期所raw!$B:$Z,17,0)</f>
        <v>-0.512546468910944</v>
      </c>
      <c r="R8" s="14">
        <f t="shared" si="2"/>
        <v>0.0118875924866802</v>
      </c>
      <c r="S8" s="35">
        <f>VLOOKUP($B8,[1]上期所raw!$B:$Z,7,0)</f>
        <v>25911.32676</v>
      </c>
      <c r="T8" s="35">
        <f>VLOOKUP($B8,[1]上期所raw!$B:$Z,8,0)</f>
        <v>56072.0465075</v>
      </c>
      <c r="U8" s="14">
        <f>VLOOKUP($B8,[1]上期所raw!$B:$Z,9,0)</f>
        <v>-0.537892258729415</v>
      </c>
      <c r="V8" s="14">
        <f t="shared" si="3"/>
        <v>0.0201473012161396</v>
      </c>
      <c r="W8" s="37">
        <f>VLOOKUP($B8,[1]上期所raw!$B:$Z,18,0)</f>
        <v>332110</v>
      </c>
      <c r="X8" s="14">
        <f t="shared" si="4"/>
        <v>0.010783711274094</v>
      </c>
      <c r="Y8" s="39">
        <f>VLOOKUP($B8,[1]上期所raw!$B:$Z,21,0)</f>
        <v>374653</v>
      </c>
      <c r="Z8" s="43">
        <f>VLOOKUP($B8,[1]上期所raw!$B:$Z,22,0)</f>
        <v>-0.113553074444886</v>
      </c>
    </row>
    <row r="9" s="1" customFormat="1" spans="1:26">
      <c r="A9" s="11"/>
      <c r="B9" s="12" t="s">
        <v>31</v>
      </c>
      <c r="C9" s="13">
        <f>VLOOKUP($B9,[1]上期所raw!$B:$Z,10,0)</f>
        <v>18796373</v>
      </c>
      <c r="D9" s="13">
        <f>VLOOKUP($B9,[1]上期所raw!$B:$Z,11,0)</f>
        <v>13116284</v>
      </c>
      <c r="E9" s="14">
        <f>VLOOKUP($B9,[1]上期所raw!$B:$Z,12,0)</f>
        <v>0.433056268071048</v>
      </c>
      <c r="F9" s="13">
        <f>VLOOKUP($B9,[1]上期所raw!$B:$Z,13,0)</f>
        <v>8683263</v>
      </c>
      <c r="G9" s="14">
        <f>VLOOKUP($B9,[1]上期所raw!$B:$Z,14,0)</f>
        <v>1.16466701515317</v>
      </c>
      <c r="H9" s="14">
        <f t="shared" si="0"/>
        <v>0.0283320699238432</v>
      </c>
      <c r="I9" s="35">
        <f>VLOOKUP($B9,[1]上期所raw!$B:$Z,2,0)</f>
        <v>7217.8787714</v>
      </c>
      <c r="J9" s="35">
        <f>VLOOKUP($B9,[1]上期所raw!$B:$Z,3,0)</f>
        <v>3955.2417586</v>
      </c>
      <c r="K9" s="14">
        <f>VLOOKUP($B9,[1]上期所raw!$B:$Z,4,0)</f>
        <v>0.824889402956457</v>
      </c>
      <c r="L9" s="35">
        <f>VLOOKUP($B9,[1]上期所raw!$B:$Z,5,0)</f>
        <v>3120.5290284</v>
      </c>
      <c r="M9" s="14">
        <f>VLOOKUP($B9,[1]上期所raw!$B:$Z,6,0)</f>
        <v>1.3130304848024</v>
      </c>
      <c r="N9" s="14">
        <f t="shared" si="1"/>
        <v>0.0126807356870457</v>
      </c>
      <c r="O9" s="13">
        <f>VLOOKUP($B9,[1]上期所raw!$B:$Z,15,0)</f>
        <v>37655216</v>
      </c>
      <c r="P9" s="13">
        <f>VLOOKUP($B9,[1]上期所raw!$B:$Z,16,0)</f>
        <v>34353155</v>
      </c>
      <c r="Q9" s="14">
        <f>VLOOKUP($B9,[1]上期所raw!$B:$Z,17,0)</f>
        <v>0.0961210404109899</v>
      </c>
      <c r="R9" s="14">
        <f t="shared" si="2"/>
        <v>0.0245556625527661</v>
      </c>
      <c r="S9" s="35">
        <f>VLOOKUP($B9,[1]上期所raw!$B:$Z,7,0)</f>
        <v>13866.973351</v>
      </c>
      <c r="T9" s="35">
        <f>VLOOKUP($B9,[1]上期所raw!$B:$Z,8,0)</f>
        <v>9886.8283112</v>
      </c>
      <c r="U9" s="14">
        <f>VLOOKUP($B9,[1]上期所raw!$B:$Z,9,0)</f>
        <v>0.402570461883232</v>
      </c>
      <c r="V9" s="14">
        <f t="shared" si="3"/>
        <v>0.0107822378856365</v>
      </c>
      <c r="W9" s="37">
        <f>VLOOKUP($B9,[1]上期所raw!$B:$Z,18,0)</f>
        <v>586210</v>
      </c>
      <c r="X9" s="14">
        <f t="shared" si="4"/>
        <v>0.0190344144590245</v>
      </c>
      <c r="Y9" s="39">
        <f>VLOOKUP($B9,[1]上期所raw!$B:$Z,21,0)</f>
        <v>715286</v>
      </c>
      <c r="Z9" s="43">
        <f>VLOOKUP($B9,[1]上期所raw!$B:$Z,22,0)</f>
        <v>-0.180453692648815</v>
      </c>
    </row>
    <row r="10" s="1" customFormat="1" spans="1:26">
      <c r="A10" s="11"/>
      <c r="B10" s="12" t="s">
        <v>32</v>
      </c>
      <c r="C10" s="13">
        <f>VLOOKUP($B10,[1]上期所raw!$B:$Z,10,0)</f>
        <v>16085207</v>
      </c>
      <c r="D10" s="13">
        <f>VLOOKUP($B10,[1]上期所raw!$B:$Z,11,0)</f>
        <v>22866359</v>
      </c>
      <c r="E10" s="14">
        <f>VLOOKUP($B10,[1]上期所raw!$B:$Z,12,0)</f>
        <v>-0.296555826837145</v>
      </c>
      <c r="F10" s="13">
        <f>VLOOKUP($B10,[1]上期所raw!$B:$Z,13,0)</f>
        <v>8388643</v>
      </c>
      <c r="G10" s="14">
        <f>VLOOKUP($B10,[1]上期所raw!$B:$Z,14,0)</f>
        <v>0.917498098321743</v>
      </c>
      <c r="H10" s="14">
        <f t="shared" si="0"/>
        <v>0.0242454865874119</v>
      </c>
      <c r="I10" s="35">
        <f>VLOOKUP($B10,[1]上期所raw!$B:$Z,2,0)</f>
        <v>8255.6043776</v>
      </c>
      <c r="J10" s="35">
        <f>VLOOKUP($B10,[1]上期所raw!$B:$Z,3,0)</f>
        <v>11516.4120234</v>
      </c>
      <c r="K10" s="14">
        <f>VLOOKUP($B10,[1]上期所raw!$B:$Z,4,0)</f>
        <v>-0.283144406363234</v>
      </c>
      <c r="L10" s="35">
        <f>VLOOKUP($B10,[1]上期所raw!$B:$Z,5,0)</f>
        <v>4116.6900112</v>
      </c>
      <c r="M10" s="14">
        <f>VLOOKUP($B10,[1]上期所raw!$B:$Z,6,0)</f>
        <v>1.00539859817949</v>
      </c>
      <c r="N10" s="14">
        <f t="shared" si="1"/>
        <v>0.0145038646899936</v>
      </c>
      <c r="O10" s="13">
        <f>VLOOKUP($B10,[1]上期所raw!$B:$Z,15,0)</f>
        <v>33124412</v>
      </c>
      <c r="P10" s="13">
        <f>VLOOKUP($B10,[1]上期所raw!$B:$Z,16,0)</f>
        <v>46292227</v>
      </c>
      <c r="Q10" s="14">
        <f>VLOOKUP($B10,[1]上期所raw!$B:$Z,17,0)</f>
        <v>-0.284449806227728</v>
      </c>
      <c r="R10" s="14">
        <f t="shared" si="2"/>
        <v>0.0216010414953083</v>
      </c>
      <c r="S10" s="35">
        <f>VLOOKUP($B10,[1]上期所raw!$B:$Z,7,0)</f>
        <v>16456.0067134</v>
      </c>
      <c r="T10" s="35">
        <f>VLOOKUP($B10,[1]上期所raw!$B:$Z,8,0)</f>
        <v>22096.8452942</v>
      </c>
      <c r="U10" s="14">
        <f>VLOOKUP($B10,[1]上期所raw!$B:$Z,9,0)</f>
        <v>-0.255278004877946</v>
      </c>
      <c r="V10" s="14">
        <f t="shared" si="3"/>
        <v>0.0127953356900851</v>
      </c>
      <c r="W10" s="37">
        <f>VLOOKUP($B10,[1]上期所raw!$B:$Z,18,0)</f>
        <v>997547</v>
      </c>
      <c r="X10" s="14">
        <f t="shared" si="4"/>
        <v>0.0323906501771661</v>
      </c>
      <c r="Y10" s="39">
        <f>VLOOKUP($B10,[1]上期所raw!$B:$Z,21,0)</f>
        <v>915759</v>
      </c>
      <c r="Z10" s="43">
        <f>VLOOKUP($B10,[1]上期所raw!$B:$Z,22,0)</f>
        <v>0.0893117075562457</v>
      </c>
    </row>
    <row r="11" s="1" customFormat="1" spans="1:26">
      <c r="A11" s="11"/>
      <c r="B11" s="12" t="s">
        <v>33</v>
      </c>
      <c r="C11" s="13">
        <f>VLOOKUP($B11,[1]上期所raw!$B:$Z,10,0)</f>
        <v>18712806</v>
      </c>
      <c r="D11" s="13">
        <f>VLOOKUP($B11,[1]上期所raw!$B:$Z,11,0)</f>
        <v>32697222</v>
      </c>
      <c r="E11" s="14">
        <f>VLOOKUP($B11,[1]上期所raw!$B:$Z,12,0)</f>
        <v>-0.427694316049235</v>
      </c>
      <c r="F11" s="13">
        <f>VLOOKUP($B11,[1]上期所raw!$B:$Z,13,0)</f>
        <v>7708637</v>
      </c>
      <c r="G11" s="14">
        <f>VLOOKUP($B11,[1]上期所raw!$B:$Z,14,0)</f>
        <v>1.42751163402817</v>
      </c>
      <c r="H11" s="14">
        <f t="shared" si="0"/>
        <v>0.028206108064748</v>
      </c>
      <c r="I11" s="35">
        <f>VLOOKUP($B11,[1]上期所raw!$B:$Z,2,0)</f>
        <v>7272.4712064</v>
      </c>
      <c r="J11" s="35">
        <f>VLOOKUP($B11,[1]上期所raw!$B:$Z,3,0)</f>
        <v>8021.1363222</v>
      </c>
      <c r="K11" s="14">
        <f>VLOOKUP($B11,[1]上期所raw!$B:$Z,4,0)</f>
        <v>-0.0933365405756699</v>
      </c>
      <c r="L11" s="35">
        <f>VLOOKUP($B11,[1]上期所raw!$B:$Z,5,0)</f>
        <v>2514.3116896</v>
      </c>
      <c r="M11" s="14">
        <f>VLOOKUP($B11,[1]上期所raw!$B:$Z,6,0)</f>
        <v>1.89243025694916</v>
      </c>
      <c r="N11" s="14">
        <f t="shared" si="1"/>
        <v>0.0127766464470726</v>
      </c>
      <c r="O11" s="13">
        <f>VLOOKUP($B11,[1]上期所raw!$B:$Z,15,0)</f>
        <v>34363617</v>
      </c>
      <c r="P11" s="13">
        <f>VLOOKUP($B11,[1]上期所raw!$B:$Z,16,0)</f>
        <v>81246101</v>
      </c>
      <c r="Q11" s="14">
        <f>VLOOKUP($B11,[1]上期所raw!$B:$Z,17,0)</f>
        <v>-0.577042878648417</v>
      </c>
      <c r="R11" s="14">
        <f t="shared" si="2"/>
        <v>0.0224091499872022</v>
      </c>
      <c r="S11" s="35">
        <f>VLOOKUP($B11,[1]上期所raw!$B:$Z,7,0)</f>
        <v>12184.1649341</v>
      </c>
      <c r="T11" s="35">
        <f>VLOOKUP($B11,[1]上期所raw!$B:$Z,8,0)</f>
        <v>18801.1545266</v>
      </c>
      <c r="U11" s="14">
        <f>VLOOKUP($B11,[1]上期所raw!$B:$Z,9,0)</f>
        <v>-0.351945918168921</v>
      </c>
      <c r="V11" s="14">
        <f t="shared" si="3"/>
        <v>0.00947377350716713</v>
      </c>
      <c r="W11" s="37">
        <f>VLOOKUP($B11,[1]上期所raw!$B:$Z,18,0)</f>
        <v>383149</v>
      </c>
      <c r="X11" s="14">
        <f t="shared" si="4"/>
        <v>0.0124409629067412</v>
      </c>
      <c r="Y11" s="39">
        <f>VLOOKUP($B11,[1]上期所raw!$B:$Z,21,0)</f>
        <v>483294</v>
      </c>
      <c r="Z11" s="43">
        <f>VLOOKUP($B11,[1]上期所raw!$B:$Z,22,0)</f>
        <v>-0.207213414608913</v>
      </c>
    </row>
    <row r="12" s="1" customFormat="1" spans="1:26">
      <c r="A12" s="11"/>
      <c r="B12" s="12" t="s">
        <v>34</v>
      </c>
      <c r="C12" s="13">
        <f>VLOOKUP($B12,[1]上期所raw!$B:$Z,10,0)</f>
        <v>2177978</v>
      </c>
      <c r="D12" s="13">
        <f>VLOOKUP($B12,[1]上期所raw!$B:$Z,11,0)</f>
        <v>2420358</v>
      </c>
      <c r="E12" s="14">
        <f>VLOOKUP($B12,[1]上期所raw!$B:$Z,12,0)</f>
        <v>-0.100142210367227</v>
      </c>
      <c r="F12" s="13">
        <f>VLOOKUP($B12,[1]上期所raw!$B:$Z,13,0)</f>
        <v>1503774</v>
      </c>
      <c r="G12" s="14">
        <f>VLOOKUP($B12,[1]上期所raw!$B:$Z,14,0)</f>
        <v>0.448341306605913</v>
      </c>
      <c r="H12" s="14">
        <f t="shared" si="0"/>
        <v>0.00328290064197982</v>
      </c>
      <c r="I12" s="35">
        <f>VLOOKUP($B12,[1]上期所raw!$B:$Z,2,0)</f>
        <v>1684.86955825</v>
      </c>
      <c r="J12" s="35">
        <f>VLOOKUP($B12,[1]上期所raw!$B:$Z,3,0)</f>
        <v>1820.86334625</v>
      </c>
      <c r="K12" s="14">
        <f>VLOOKUP($B12,[1]上期所raw!$B:$Z,4,0)</f>
        <v>-0.0746864328287316</v>
      </c>
      <c r="L12" s="35">
        <f>VLOOKUP($B12,[1]上期所raw!$B:$Z,5,0)</f>
        <v>1150.879023</v>
      </c>
      <c r="M12" s="14">
        <f>VLOOKUP($B12,[1]上期所raw!$B:$Z,6,0)</f>
        <v>0.463984940709098</v>
      </c>
      <c r="N12" s="14">
        <f t="shared" si="1"/>
        <v>0.00296006433634983</v>
      </c>
      <c r="O12" s="13">
        <f>VLOOKUP($B12,[1]上期所raw!$B:$Z,15,0)</f>
        <v>5606912</v>
      </c>
      <c r="P12" s="13">
        <f>VLOOKUP($B12,[1]上期所raw!$B:$Z,16,0)</f>
        <v>5687352</v>
      </c>
      <c r="Q12" s="14">
        <f>VLOOKUP($B12,[1]上期所raw!$B:$Z,17,0)</f>
        <v>-0.01414366474943</v>
      </c>
      <c r="R12" s="14">
        <f t="shared" si="2"/>
        <v>0.00365637098018651</v>
      </c>
      <c r="S12" s="35">
        <f>VLOOKUP($B12,[1]上期所raw!$B:$Z,7,0)</f>
        <v>4324.4164325</v>
      </c>
      <c r="T12" s="35">
        <f>VLOOKUP($B12,[1]上期所raw!$B:$Z,8,0)</f>
        <v>4313.55411125</v>
      </c>
      <c r="U12" s="14">
        <f>VLOOKUP($B12,[1]上期所raw!$B:$Z,9,0)</f>
        <v>0.00251818360680128</v>
      </c>
      <c r="V12" s="14">
        <f t="shared" si="3"/>
        <v>0.00336244150122405</v>
      </c>
      <c r="W12" s="37">
        <f>VLOOKUP($B12,[1]上期所raw!$B:$Z,18,0)</f>
        <v>92961</v>
      </c>
      <c r="X12" s="14">
        <f t="shared" si="4"/>
        <v>0.0030184715418116</v>
      </c>
      <c r="Y12" s="39">
        <f>VLOOKUP($B12,[1]上期所raw!$B:$Z,21,0)</f>
        <v>101224</v>
      </c>
      <c r="Z12" s="43">
        <f>VLOOKUP($B12,[1]上期所raw!$B:$Z,22,0)</f>
        <v>-0.0816308385363155</v>
      </c>
    </row>
    <row r="13" s="1" customFormat="1" spans="1:26">
      <c r="A13" s="11"/>
      <c r="B13" s="12" t="s">
        <v>35</v>
      </c>
      <c r="C13" s="13">
        <f>VLOOKUP($B13,[1]上期所raw!$B:$Z,10,0)</f>
        <v>5983340</v>
      </c>
      <c r="D13" s="13">
        <f>VLOOKUP($B13,[1]上期所raw!$B:$Z,11,0)</f>
        <v>21412314</v>
      </c>
      <c r="E13" s="14">
        <f>VLOOKUP($B13,[1]上期所raw!$B:$Z,12,0)</f>
        <v>-0.720565465273861</v>
      </c>
      <c r="F13" s="13">
        <f>VLOOKUP($B13,[1]上期所raw!$B:$Z,13,0)</f>
        <v>6393765</v>
      </c>
      <c r="G13" s="14">
        <f>VLOOKUP($B13,[1]上期所raw!$B:$Z,14,0)</f>
        <v>-0.0641914427571235</v>
      </c>
      <c r="H13" s="14">
        <f t="shared" si="0"/>
        <v>0.00901878289274892</v>
      </c>
      <c r="I13" s="35">
        <f>VLOOKUP($B13,[1]上期所raw!$B:$Z,2,0)</f>
        <v>12538.7887999</v>
      </c>
      <c r="J13" s="35">
        <f>VLOOKUP($B13,[1]上期所raw!$B:$Z,3,0)</f>
        <v>26583.1019524</v>
      </c>
      <c r="K13" s="14">
        <f>VLOOKUP($B13,[1]上期所raw!$B:$Z,4,0)</f>
        <v>-0.528317318936214</v>
      </c>
      <c r="L13" s="35">
        <f>VLOOKUP($B13,[1]上期所raw!$B:$Z,5,0)</f>
        <v>11144.5331408</v>
      </c>
      <c r="M13" s="14">
        <f>VLOOKUP($B13,[1]上期所raw!$B:$Z,6,0)</f>
        <v>0.125106690561639</v>
      </c>
      <c r="N13" s="14">
        <f t="shared" si="1"/>
        <v>0.0220287804274635</v>
      </c>
      <c r="O13" s="13">
        <f>VLOOKUP($B13,[1]上期所raw!$B:$Z,15,0)</f>
        <v>22217036</v>
      </c>
      <c r="P13" s="13">
        <f>VLOOKUP($B13,[1]上期所raw!$B:$Z,16,0)</f>
        <v>52870468</v>
      </c>
      <c r="Q13" s="14">
        <f>VLOOKUP($B13,[1]上期所raw!$B:$Z,17,0)</f>
        <v>-0.579783632707772</v>
      </c>
      <c r="R13" s="14">
        <f t="shared" si="2"/>
        <v>0.0144881399415862</v>
      </c>
      <c r="S13" s="35">
        <f>VLOOKUP($B13,[1]上期所raw!$B:$Z,7,0)</f>
        <v>39833.8430119</v>
      </c>
      <c r="T13" s="35">
        <f>VLOOKUP($B13,[1]上期所raw!$B:$Z,8,0)</f>
        <v>68786.9519676</v>
      </c>
      <c r="U13" s="14">
        <f>VLOOKUP($B13,[1]上期所raw!$B:$Z,9,0)</f>
        <v>-0.420909898280381</v>
      </c>
      <c r="V13" s="14">
        <f t="shared" si="3"/>
        <v>0.0309727263752498</v>
      </c>
      <c r="W13" s="37">
        <f>VLOOKUP($B13,[1]上期所raw!$B:$Z,18,0)</f>
        <v>89620</v>
      </c>
      <c r="X13" s="14">
        <f t="shared" si="4"/>
        <v>0.00290998827010419</v>
      </c>
      <c r="Y13" s="39">
        <f>VLOOKUP($B13,[1]上期所raw!$B:$Z,21,0)</f>
        <v>276987</v>
      </c>
      <c r="Z13" s="43">
        <f>VLOOKUP($B13,[1]上期所raw!$B:$Z,22,0)</f>
        <v>-0.676446909060714</v>
      </c>
    </row>
    <row r="14" s="1" customFormat="1" spans="1:26">
      <c r="A14" s="11"/>
      <c r="B14" s="12" t="s">
        <v>36</v>
      </c>
      <c r="C14" s="13">
        <f>VLOOKUP($B14,[1]上期所raw!$B:$Z,10,0)</f>
        <v>44973011</v>
      </c>
      <c r="D14" s="13">
        <f>VLOOKUP($B14,[1]上期所raw!$B:$Z,11,0)</f>
        <v>66165072</v>
      </c>
      <c r="E14" s="14">
        <f>VLOOKUP($B14,[1]上期所raw!$B:$Z,12,0)</f>
        <v>-0.320290757032653</v>
      </c>
      <c r="F14" s="13">
        <f>VLOOKUP($B14,[1]上期所raw!$B:$Z,13,0)</f>
        <v>30423132</v>
      </c>
      <c r="G14" s="14">
        <f>VLOOKUP($B14,[1]上期所raw!$B:$Z,14,0)</f>
        <v>0.478250529892846</v>
      </c>
      <c r="H14" s="14">
        <f t="shared" si="0"/>
        <v>0.0677885298582746</v>
      </c>
      <c r="I14" s="35">
        <f>VLOOKUP($B14,[1]上期所raw!$B:$Z,2,0)</f>
        <v>21968.7811348</v>
      </c>
      <c r="J14" s="35">
        <f>VLOOKUP($B14,[1]上期所raw!$B:$Z,3,0)</f>
        <v>31482.2047499</v>
      </c>
      <c r="K14" s="14">
        <f>VLOOKUP($B14,[1]上期所raw!$B:$Z,4,0)</f>
        <v>-0.302184160565509</v>
      </c>
      <c r="L14" s="35">
        <f>VLOOKUP($B14,[1]上期所raw!$B:$Z,5,0)</f>
        <v>14465.7884285</v>
      </c>
      <c r="M14" s="14">
        <f>VLOOKUP($B14,[1]上期所raw!$B:$Z,6,0)</f>
        <v>0.518671536182422</v>
      </c>
      <c r="N14" s="14">
        <f t="shared" si="1"/>
        <v>0.0385958694735628</v>
      </c>
      <c r="O14" s="13">
        <f>VLOOKUP($B14,[1]上期所raw!$B:$Z,15,0)</f>
        <v>103036944</v>
      </c>
      <c r="P14" s="13">
        <f>VLOOKUP($B14,[1]上期所raw!$B:$Z,16,0)</f>
        <v>133995641</v>
      </c>
      <c r="Q14" s="14">
        <f>VLOOKUP($B14,[1]上期所raw!$B:$Z,17,0)</f>
        <v>-0.23104256801906</v>
      </c>
      <c r="R14" s="14">
        <f t="shared" si="2"/>
        <v>0.0671922962102317</v>
      </c>
      <c r="S14" s="35">
        <f>VLOOKUP($B14,[1]上期所raw!$B:$Z,7,0)</f>
        <v>49130.0718766</v>
      </c>
      <c r="T14" s="35">
        <f>VLOOKUP($B14,[1]上期所raw!$B:$Z,8,0)</f>
        <v>61139.4178677</v>
      </c>
      <c r="U14" s="14">
        <f>VLOOKUP($B14,[1]上期所raw!$B:$Z,9,0)</f>
        <v>-0.196425586142922</v>
      </c>
      <c r="V14" s="14">
        <f t="shared" si="3"/>
        <v>0.0382009908653728</v>
      </c>
      <c r="W14" s="37">
        <f>VLOOKUP($B14,[1]上期所raw!$B:$Z,18,0)</f>
        <v>2442275</v>
      </c>
      <c r="X14" s="14">
        <f t="shared" si="4"/>
        <v>0.0793014014993161</v>
      </c>
      <c r="Y14" s="39">
        <f>VLOOKUP($B14,[1]上期所raw!$B:$Z,21,0)</f>
        <v>2992648</v>
      </c>
      <c r="Z14" s="43">
        <f>VLOOKUP($B14,[1]上期所raw!$B:$Z,22,0)</f>
        <v>-0.18390836476592</v>
      </c>
    </row>
    <row r="15" s="1" customFormat="1" spans="1:26">
      <c r="A15" s="11"/>
      <c r="B15" s="12" t="s">
        <v>37</v>
      </c>
      <c r="C15" s="13">
        <f>VLOOKUP($B15,[1]上期所raw!$B:$Z,10,0)</f>
        <v>11794703</v>
      </c>
      <c r="D15" s="13">
        <f>VLOOKUP($B15,[1]上期所raw!$B:$Z,11,0)</f>
        <v>12442224</v>
      </c>
      <c r="E15" s="14">
        <f>VLOOKUP($B15,[1]上期所raw!$B:$Z,12,0)</f>
        <v>-0.0520422233195609</v>
      </c>
      <c r="F15" s="13">
        <f>VLOOKUP($B15,[1]上期所raw!$B:$Z,13,0)</f>
        <v>8471245</v>
      </c>
      <c r="G15" s="14">
        <f>VLOOKUP($B15,[1]上期所raw!$B:$Z,14,0)</f>
        <v>0.392322261957953</v>
      </c>
      <c r="H15" s="14">
        <f t="shared" si="0"/>
        <v>0.0177783421369092</v>
      </c>
      <c r="I15" s="35">
        <f>VLOOKUP($B15,[1]上期所raw!$B:$Z,2,0)</f>
        <v>13405.2652955</v>
      </c>
      <c r="J15" s="35">
        <f>VLOOKUP($B15,[1]上期所raw!$B:$Z,3,0)</f>
        <v>10769.30566175</v>
      </c>
      <c r="K15" s="14">
        <f>VLOOKUP($B15,[1]上期所raw!$B:$Z,4,0)</f>
        <v>0.244765978099433</v>
      </c>
      <c r="L15" s="35">
        <f>VLOOKUP($B15,[1]上期所raw!$B:$Z,5,0)</f>
        <v>9623.002998</v>
      </c>
      <c r="M15" s="14">
        <f>VLOOKUP($B15,[1]上期所raw!$B:$Z,6,0)</f>
        <v>0.393043865650472</v>
      </c>
      <c r="N15" s="14">
        <f t="shared" si="1"/>
        <v>0.0235510503031059</v>
      </c>
      <c r="O15" s="13">
        <f>VLOOKUP($B15,[1]上期所raw!$B:$Z,15,0)</f>
        <v>29316551</v>
      </c>
      <c r="P15" s="13">
        <f>VLOOKUP($B15,[1]上期所raw!$B:$Z,16,0)</f>
        <v>24872416</v>
      </c>
      <c r="Q15" s="14">
        <f>VLOOKUP($B15,[1]上期所raw!$B:$Z,17,0)</f>
        <v>0.178677254352774</v>
      </c>
      <c r="R15" s="14">
        <f t="shared" si="2"/>
        <v>0.0191178649344876</v>
      </c>
      <c r="S15" s="35">
        <f>VLOOKUP($B15,[1]上期所raw!$B:$Z,7,0)</f>
        <v>32636.66002575</v>
      </c>
      <c r="T15" s="35">
        <f>VLOOKUP($B15,[1]上期所raw!$B:$Z,8,0)</f>
        <v>20498.198244</v>
      </c>
      <c r="U15" s="14">
        <f>VLOOKUP($B15,[1]上期所raw!$B:$Z,9,0)</f>
        <v>0.592172133241176</v>
      </c>
      <c r="V15" s="14">
        <f t="shared" si="3"/>
        <v>0.0253765708841506</v>
      </c>
      <c r="W15" s="37">
        <f>VLOOKUP($B15,[1]上期所raw!$B:$Z,18,0)</f>
        <v>426593</v>
      </c>
      <c r="X15" s="14">
        <f t="shared" si="4"/>
        <v>0.0138516026122356</v>
      </c>
      <c r="Y15" s="39">
        <f>VLOOKUP($B15,[1]上期所raw!$B:$Z,21,0)</f>
        <v>469856</v>
      </c>
      <c r="Z15" s="43">
        <f>VLOOKUP($B15,[1]上期所raw!$B:$Z,22,0)</f>
        <v>-0.0920771470407955</v>
      </c>
    </row>
    <row r="16" s="1" customFormat="1" spans="1:26">
      <c r="A16" s="11"/>
      <c r="B16" s="12" t="s">
        <v>38</v>
      </c>
      <c r="C16" s="13">
        <f>VLOOKUP($B16,[1]上期所raw!$B:$Z,10,0)</f>
        <v>5066592</v>
      </c>
      <c r="D16" s="13">
        <f>VLOOKUP($B16,[1]上期所raw!$B:$Z,11,0)</f>
        <v>4809351</v>
      </c>
      <c r="E16" s="14">
        <f>VLOOKUP($B16,[1]上期所raw!$B:$Z,12,0)</f>
        <v>0.0534876743244567</v>
      </c>
      <c r="F16" s="13">
        <f>VLOOKUP($B16,[1]上期所raw!$B:$Z,13,0)</f>
        <v>2795241</v>
      </c>
      <c r="G16" s="14">
        <f>VLOOKUP($B16,[1]上期所raw!$B:$Z,14,0)</f>
        <v>0.812577877900331</v>
      </c>
      <c r="H16" s="14">
        <f t="shared" si="0"/>
        <v>0.00763695415171769</v>
      </c>
      <c r="I16" s="35">
        <f>VLOOKUP($B16,[1]上期所raw!$B:$Z,2,0)</f>
        <v>20239.4300988</v>
      </c>
      <c r="J16" s="35">
        <f>VLOOKUP($B16,[1]上期所raw!$B:$Z,3,0)</f>
        <v>17484.9195672</v>
      </c>
      <c r="K16" s="14">
        <f>VLOOKUP($B16,[1]上期所raw!$B:$Z,4,0)</f>
        <v>0.157536357031187</v>
      </c>
      <c r="L16" s="35">
        <f>VLOOKUP($B16,[1]上期所raw!$B:$Z,5,0)</f>
        <v>10757.8378458</v>
      </c>
      <c r="M16" s="14">
        <f>VLOOKUP($B16,[1]上期所raw!$B:$Z,6,0)</f>
        <v>0.88136597603595</v>
      </c>
      <c r="N16" s="14">
        <f t="shared" si="1"/>
        <v>0.0355576578199496</v>
      </c>
      <c r="O16" s="13">
        <f>VLOOKUP($B16,[1]上期所raw!$B:$Z,15,0)</f>
        <v>10798165</v>
      </c>
      <c r="P16" s="13">
        <f>VLOOKUP($B16,[1]上期所raw!$B:$Z,16,0)</f>
        <v>11948410</v>
      </c>
      <c r="Q16" s="14">
        <f>VLOOKUP($B16,[1]上期所raw!$B:$Z,17,0)</f>
        <v>-0.0962676205453278</v>
      </c>
      <c r="R16" s="14">
        <f t="shared" si="2"/>
        <v>0.00704168304144343</v>
      </c>
      <c r="S16" s="35">
        <f>VLOOKUP($B16,[1]上期所raw!$B:$Z,7,0)</f>
        <v>41976.73668</v>
      </c>
      <c r="T16" s="35">
        <f>VLOOKUP($B16,[1]上期所raw!$B:$Z,8,0)</f>
        <v>45094.7604584</v>
      </c>
      <c r="U16" s="14">
        <f>VLOOKUP($B16,[1]上期所raw!$B:$Z,9,0)</f>
        <v>-0.0691438150841578</v>
      </c>
      <c r="V16" s="14">
        <f t="shared" si="3"/>
        <v>0.0326389291368937</v>
      </c>
      <c r="W16" s="37">
        <f>VLOOKUP($B16,[1]上期所raw!$B:$Z,18,0)</f>
        <v>224591</v>
      </c>
      <c r="X16" s="14">
        <f t="shared" si="4"/>
        <v>0.00729253710746452</v>
      </c>
      <c r="Y16" s="39">
        <f>VLOOKUP($B16,[1]上期所raw!$B:$Z,21,0)</f>
        <v>226569</v>
      </c>
      <c r="Z16" s="43">
        <f>VLOOKUP($B16,[1]上期所raw!$B:$Z,22,0)</f>
        <v>-0.00873023229126668</v>
      </c>
    </row>
    <row r="17" s="1" customFormat="1" spans="1:26">
      <c r="A17" s="11"/>
      <c r="B17" s="12" t="s">
        <v>39</v>
      </c>
      <c r="C17" s="13">
        <f>VLOOKUP($B17,[1]上期所raw!$B:$Z,10,0)</f>
        <v>5037262</v>
      </c>
      <c r="D17" s="13">
        <f>VLOOKUP($B17,[1]上期所raw!$B:$Z,11,0)</f>
        <v>3730188</v>
      </c>
      <c r="E17" s="14">
        <f>VLOOKUP($B17,[1]上期所raw!$B:$Z,12,0)</f>
        <v>0.350404322784803</v>
      </c>
      <c r="F17" s="13">
        <f>VLOOKUP($B17,[1]上期所raw!$B:$Z,13,0)</f>
        <v>2117955</v>
      </c>
      <c r="G17" s="14">
        <f>VLOOKUP($B17,[1]上期所raw!$B:$Z,14,0)</f>
        <v>1.3783612021974</v>
      </c>
      <c r="H17" s="14">
        <f t="shared" si="0"/>
        <v>0.00759274457943126</v>
      </c>
      <c r="I17" s="35">
        <f>VLOOKUP($B17,[1]上期所raw!$B:$Z,2,0)</f>
        <v>5162.4695215</v>
      </c>
      <c r="J17" s="35">
        <f>VLOOKUP($B17,[1]上期所raw!$B:$Z,3,0)</f>
        <v>2663.7397985</v>
      </c>
      <c r="K17" s="14">
        <f>VLOOKUP($B17,[1]上期所raw!$B:$Z,4,0)</f>
        <v>0.938053230427041</v>
      </c>
      <c r="L17" s="35">
        <f>VLOOKUP($B17,[1]上期所raw!$B:$Z,5,0)</f>
        <v>1949.8525995</v>
      </c>
      <c r="M17" s="14">
        <f>VLOOKUP($B17,[1]上期所raw!$B:$Z,6,0)</f>
        <v>1.64762040106201</v>
      </c>
      <c r="N17" s="14">
        <f t="shared" si="1"/>
        <v>0.00906968841787199</v>
      </c>
      <c r="O17" s="13">
        <f>VLOOKUP($B17,[1]上期所raw!$B:$Z,15,0)</f>
        <v>10277287</v>
      </c>
      <c r="P17" s="13">
        <f>VLOOKUP($B17,[1]上期所raw!$B:$Z,16,0)</f>
        <v>9541526</v>
      </c>
      <c r="Q17" s="14">
        <f>VLOOKUP($B17,[1]上期所raw!$B:$Z,17,0)</f>
        <v>0.0771114599488593</v>
      </c>
      <c r="R17" s="14">
        <f t="shared" si="2"/>
        <v>0.00670200886724245</v>
      </c>
      <c r="S17" s="35">
        <f>VLOOKUP($B17,[1]上期所raw!$B:$Z,7,0)</f>
        <v>9866.92883375</v>
      </c>
      <c r="T17" s="35">
        <f>VLOOKUP($B17,[1]上期所raw!$B:$Z,8,0)</f>
        <v>6869.93641625</v>
      </c>
      <c r="U17" s="14">
        <f>VLOOKUP($B17,[1]上期所raw!$B:$Z,9,0)</f>
        <v>0.436247475363961</v>
      </c>
      <c r="V17" s="14">
        <f t="shared" si="3"/>
        <v>0.00767201112984515</v>
      </c>
      <c r="W17" s="37">
        <f>VLOOKUP($B17,[1]上期所raw!$B:$Z,18,0)</f>
        <v>108508</v>
      </c>
      <c r="X17" s="14">
        <f t="shared" si="4"/>
        <v>0.00352328729315404</v>
      </c>
      <c r="Y17" s="39">
        <f>VLOOKUP($B17,[1]上期所raw!$B:$Z,21,0)</f>
        <v>98482</v>
      </c>
      <c r="Z17" s="43">
        <f>VLOOKUP($B17,[1]上期所raw!$B:$Z,22,0)</f>
        <v>0.101805406064052</v>
      </c>
    </row>
    <row r="18" s="1" customFormat="1" spans="1:26">
      <c r="A18" s="11"/>
      <c r="B18" s="12" t="s">
        <v>40</v>
      </c>
      <c r="C18" s="13">
        <f>VLOOKUP($B18,[1]上期所raw!$B:$Z,10,0)</f>
        <v>17290284</v>
      </c>
      <c r="D18" s="13">
        <f>VLOOKUP($B18,[1]上期所raw!$B:$Z,11,0)</f>
        <v>27781395</v>
      </c>
      <c r="E18" s="14">
        <f>VLOOKUP($B18,[1]上期所raw!$B:$Z,12,0)</f>
        <v>-0.377630820914501</v>
      </c>
      <c r="F18" s="13">
        <f>VLOOKUP($B18,[1]上期所raw!$B:$Z,13,0)</f>
        <v>9749429</v>
      </c>
      <c r="G18" s="14">
        <f>VLOOKUP($B18,[1]上期所raw!$B:$Z,14,0)</f>
        <v>0.773466323002096</v>
      </c>
      <c r="H18" s="14">
        <f t="shared" si="0"/>
        <v>0.0260619181844873</v>
      </c>
      <c r="I18" s="35">
        <f>VLOOKUP($B18,[1]上期所raw!$B:$Z,2,0)</f>
        <v>13302.2157747</v>
      </c>
      <c r="J18" s="35">
        <f>VLOOKUP($B18,[1]上期所raw!$B:$Z,3,0)</f>
        <v>22286.6454579</v>
      </c>
      <c r="K18" s="14">
        <f>VLOOKUP($B18,[1]上期所raw!$B:$Z,4,0)</f>
        <v>-0.403130641628943</v>
      </c>
      <c r="L18" s="35">
        <f>VLOOKUP($B18,[1]上期所raw!$B:$Z,5,0)</f>
        <v>7173.3830973</v>
      </c>
      <c r="M18" s="14">
        <f>VLOOKUP($B18,[1]上期所raw!$B:$Z,6,0)</f>
        <v>0.854385245325436</v>
      </c>
      <c r="N18" s="14">
        <f t="shared" si="1"/>
        <v>0.0233700076758566</v>
      </c>
      <c r="O18" s="13">
        <f>VLOOKUP($B18,[1]上期所raw!$B:$Z,15,0)</f>
        <v>39547356</v>
      </c>
      <c r="P18" s="13">
        <f>VLOOKUP($B18,[1]上期所raw!$B:$Z,16,0)</f>
        <v>84239826</v>
      </c>
      <c r="Q18" s="14">
        <f>VLOOKUP($B18,[1]上期所raw!$B:$Z,17,0)</f>
        <v>-0.530538489004001</v>
      </c>
      <c r="R18" s="14">
        <f t="shared" si="2"/>
        <v>0.0257895620301344</v>
      </c>
      <c r="S18" s="35">
        <f>VLOOKUP($B18,[1]上期所raw!$B:$Z,7,0)</f>
        <v>29513.4645117</v>
      </c>
      <c r="T18" s="35">
        <f>VLOOKUP($B18,[1]上期所raw!$B:$Z,8,0)</f>
        <v>68984.6615895</v>
      </c>
      <c r="U18" s="14">
        <f>VLOOKUP($B18,[1]上期所raw!$B:$Z,9,0)</f>
        <v>-0.572173526235111</v>
      </c>
      <c r="V18" s="14">
        <f t="shared" si="3"/>
        <v>0.022948136348116</v>
      </c>
      <c r="W18" s="37">
        <f>VLOOKUP($B18,[1]上期所raw!$B:$Z,18,0)</f>
        <v>647976</v>
      </c>
      <c r="X18" s="14">
        <f t="shared" si="4"/>
        <v>0.0210399749978691</v>
      </c>
      <c r="Y18" s="39">
        <f>VLOOKUP($B18,[1]上期所raw!$B:$Z,21,0)</f>
        <v>637645</v>
      </c>
      <c r="Z18" s="43">
        <f>VLOOKUP($B18,[1]上期所raw!$B:$Z,22,0)</f>
        <v>0.0162018050796289</v>
      </c>
    </row>
    <row r="19" s="1" customFormat="1" spans="1:26">
      <c r="A19" s="11"/>
      <c r="B19" s="12" t="s">
        <v>41</v>
      </c>
      <c r="C19" s="13">
        <f>VLOOKUP($B19,[1]上期所raw!$B:$Z,10,0)</f>
        <v>444244</v>
      </c>
      <c r="D19" s="13">
        <f>VLOOKUP($B19,[1]上期所raw!$B:$Z,11,0)</f>
        <v>303340</v>
      </c>
      <c r="E19" s="14">
        <f>VLOOKUP($B19,[1]上期所raw!$B:$Z,12,0)</f>
        <v>0.464508472341267</v>
      </c>
      <c r="F19" s="13">
        <f>VLOOKUP($B19,[1]上期所raw!$B:$Z,13,0)</f>
        <v>341789</v>
      </c>
      <c r="G19" s="14">
        <f>VLOOKUP($B19,[1]上期所raw!$B:$Z,14,0)</f>
        <v>0.299760963635459</v>
      </c>
      <c r="H19" s="14">
        <f t="shared" si="0"/>
        <v>0.000669615998323069</v>
      </c>
      <c r="I19" s="35">
        <f>VLOOKUP($B19,[1]上期所raw!$B:$Z,2,0)</f>
        <v>6.05208845</v>
      </c>
      <c r="J19" s="35">
        <f>VLOOKUP($B19,[1]上期所raw!$B:$Z,3,0)</f>
        <v>4.4164342</v>
      </c>
      <c r="K19" s="14">
        <f>VLOOKUP($B19,[1]上期所raw!$B:$Z,4,0)</f>
        <v>0.370356304640517</v>
      </c>
      <c r="L19" s="35">
        <f>VLOOKUP($B19,[1]上期所raw!$B:$Z,5,0)</f>
        <v>3.8152459</v>
      </c>
      <c r="M19" s="14">
        <f>VLOOKUP($B19,[1]上期所raw!$B:$Z,6,0)</f>
        <v>0.586290532413651</v>
      </c>
      <c r="N19" s="14">
        <f t="shared" si="1"/>
        <v>1.06326160939645e-5</v>
      </c>
      <c r="O19" s="13">
        <f>VLOOKUP($B19,[1]上期所raw!$B:$Z,15,0)</f>
        <v>1212479</v>
      </c>
      <c r="P19" s="13">
        <f>VLOOKUP($B19,[1]上期所raw!$B:$Z,16,0)</f>
        <v>827840</v>
      </c>
      <c r="Q19" s="14">
        <f>VLOOKUP($B19,[1]上期所raw!$B:$Z,17,0)</f>
        <v>0.464629638577503</v>
      </c>
      <c r="R19" s="14">
        <f t="shared" si="2"/>
        <v>0.00079067997316269</v>
      </c>
      <c r="S19" s="35">
        <f>VLOOKUP($B19,[1]上期所raw!$B:$Z,7,0)</f>
        <v>15.55481325</v>
      </c>
      <c r="T19" s="35">
        <f>VLOOKUP($B19,[1]上期所raw!$B:$Z,8,0)</f>
        <v>10.6507336</v>
      </c>
      <c r="U19" s="14">
        <f>VLOOKUP($B19,[1]上期所raw!$B:$Z,9,0)</f>
        <v>0.460445245762226</v>
      </c>
      <c r="V19" s="14">
        <f t="shared" si="3"/>
        <v>1.20946144831277e-5</v>
      </c>
      <c r="W19" s="37">
        <f>VLOOKUP($B19,[1]上期所raw!$B:$Z,18,0)</f>
        <v>17345</v>
      </c>
      <c r="X19" s="14">
        <f t="shared" si="4"/>
        <v>0.000563197350423534</v>
      </c>
      <c r="Y19" s="39">
        <f>VLOOKUP($B19,[1]上期所raw!$B:$Z,21,0)</f>
        <v>19682</v>
      </c>
      <c r="Z19" s="43">
        <f>VLOOKUP($B19,[1]上期所raw!$B:$Z,22,0)</f>
        <v>-0.118737933136876</v>
      </c>
    </row>
    <row r="20" s="1" customFormat="1" spans="1:26">
      <c r="A20" s="11"/>
      <c r="B20" s="12" t="s">
        <v>42</v>
      </c>
      <c r="C20" s="13">
        <f>VLOOKUP($B20,[1]上期所raw!$B:$Z,10,0)</f>
        <v>736952</v>
      </c>
      <c r="D20" s="13">
        <f>VLOOKUP($B20,[1]上期所raw!$B:$Z,11,0)</f>
        <v>750688</v>
      </c>
      <c r="E20" s="14">
        <f>VLOOKUP($B20,[1]上期所raw!$B:$Z,12,0)</f>
        <v>-0.0182978814101198</v>
      </c>
      <c r="F20" s="13">
        <f>VLOOKUP($B20,[1]上期所raw!$B:$Z,13,0)</f>
        <v>670020</v>
      </c>
      <c r="G20" s="14">
        <f>VLOOKUP($B20,[1]上期所raw!$B:$Z,14,0)</f>
        <v>0.0998955255067013</v>
      </c>
      <c r="H20" s="14">
        <f t="shared" si="0"/>
        <v>0.00111081939023641</v>
      </c>
      <c r="I20" s="35">
        <f>VLOOKUP($B20,[1]上期所raw!$B:$Z,2,0)</f>
        <v>22.3638301</v>
      </c>
      <c r="J20" s="35">
        <f>VLOOKUP($B20,[1]上期所raw!$B:$Z,3,0)</f>
        <v>28.759552</v>
      </c>
      <c r="K20" s="14">
        <f>VLOOKUP($B20,[1]上期所raw!$B:$Z,4,0)</f>
        <v>-0.222386005873805</v>
      </c>
      <c r="L20" s="35">
        <f>VLOOKUP($B20,[1]上期所raw!$B:$Z,5,0)</f>
        <v>15.1663187</v>
      </c>
      <c r="M20" s="14">
        <f>VLOOKUP($B20,[1]上期所raw!$B:$Z,6,0)</f>
        <v>0.474572079248209</v>
      </c>
      <c r="N20" s="14">
        <f t="shared" si="1"/>
        <v>3.92899115418491e-5</v>
      </c>
      <c r="O20" s="13">
        <f>VLOOKUP($B20,[1]上期所raw!$B:$Z,15,0)</f>
        <v>2247639</v>
      </c>
      <c r="P20" s="13">
        <f>VLOOKUP($B20,[1]上期所raw!$B:$Z,16,0)</f>
        <v>1782361</v>
      </c>
      <c r="Q20" s="14">
        <f>VLOOKUP($B20,[1]上期所raw!$B:$Z,17,0)</f>
        <v>0.261045882399806</v>
      </c>
      <c r="R20" s="14">
        <f t="shared" si="2"/>
        <v>0.00146572694801264</v>
      </c>
      <c r="S20" s="35">
        <f>VLOOKUP($B20,[1]上期所raw!$B:$Z,7,0)</f>
        <v>54.3205083</v>
      </c>
      <c r="T20" s="35">
        <f>VLOOKUP($B20,[1]上期所raw!$B:$Z,8,0)</f>
        <v>68.6563962</v>
      </c>
      <c r="U20" s="14">
        <f>VLOOKUP($B20,[1]上期所raw!$B:$Z,9,0)</f>
        <v>-0.20880629764252</v>
      </c>
      <c r="V20" s="14">
        <f t="shared" si="3"/>
        <v>4.22368045091147e-5</v>
      </c>
      <c r="W20" s="37">
        <f>VLOOKUP($B20,[1]上期所raw!$B:$Z,18,0)</f>
        <v>35279</v>
      </c>
      <c r="X20" s="14">
        <f t="shared" si="4"/>
        <v>0.0011455197074426</v>
      </c>
      <c r="Y20" s="39">
        <f>VLOOKUP($B20,[1]上期所raw!$B:$Z,21,0)</f>
        <v>33673</v>
      </c>
      <c r="Z20" s="43">
        <f>VLOOKUP($B20,[1]上期所raw!$B:$Z,22,0)</f>
        <v>0.0476939981587622</v>
      </c>
    </row>
    <row r="21" s="1" customFormat="1" spans="1:26">
      <c r="A21" s="11"/>
      <c r="B21" s="12" t="s">
        <v>43</v>
      </c>
      <c r="C21" s="13">
        <f>VLOOKUP($B21,[1]上期所raw!$B:$Z,10,0)</f>
        <v>500844</v>
      </c>
      <c r="D21" s="13">
        <f>VLOOKUP($B21,[1]上期所raw!$B:$Z,11,0)</f>
        <v>502380</v>
      </c>
      <c r="E21" s="14">
        <f>VLOOKUP($B21,[1]上期所raw!$B:$Z,12,0)</f>
        <v>-0.00305744655440105</v>
      </c>
      <c r="F21" s="13">
        <f>VLOOKUP($B21,[1]上期所raw!$B:$Z,13,0)</f>
        <v>289929</v>
      </c>
      <c r="G21" s="14">
        <f>VLOOKUP($B21,[1]上期所raw!$B:$Z,14,0)</f>
        <v>0.72747120846828</v>
      </c>
      <c r="H21" s="14">
        <f t="shared" si="0"/>
        <v>0.000754930072356901</v>
      </c>
      <c r="I21" s="35">
        <f>VLOOKUP($B21,[1]上期所raw!$B:$Z,2,0)</f>
        <v>12.5892793</v>
      </c>
      <c r="J21" s="35">
        <f>VLOOKUP($B21,[1]上期所raw!$B:$Z,3,0)</f>
        <v>22.5113204</v>
      </c>
      <c r="K21" s="14">
        <f>VLOOKUP($B21,[1]上期所raw!$B:$Z,4,0)</f>
        <v>-0.440757846438897</v>
      </c>
      <c r="L21" s="35">
        <f>VLOOKUP($B21,[1]上期所raw!$B:$Z,5,0)</f>
        <v>9.0162577</v>
      </c>
      <c r="M21" s="14">
        <f>VLOOKUP($B21,[1]上期所raw!$B:$Z,6,0)</f>
        <v>0.396286543584485</v>
      </c>
      <c r="N21" s="14">
        <f t="shared" si="1"/>
        <v>2.2117484700111e-5</v>
      </c>
      <c r="O21" s="13">
        <f>VLOOKUP($B21,[1]上期所raw!$B:$Z,15,0)</f>
        <v>1064501</v>
      </c>
      <c r="P21" s="13">
        <f>VLOOKUP($B21,[1]上期所raw!$B:$Z,16,0)</f>
        <v>1222860</v>
      </c>
      <c r="Q21" s="14">
        <f>VLOOKUP($B21,[1]上期所raw!$B:$Z,17,0)</f>
        <v>-0.129498879675515</v>
      </c>
      <c r="R21" s="14">
        <f t="shared" si="2"/>
        <v>0.000694180783429368</v>
      </c>
      <c r="S21" s="35">
        <f>VLOOKUP($B21,[1]上期所raw!$B:$Z,7,0)</f>
        <v>33.254155</v>
      </c>
      <c r="T21" s="35">
        <f>VLOOKUP($B21,[1]上期所raw!$B:$Z,8,0)</f>
        <v>68.7466121</v>
      </c>
      <c r="U21" s="14">
        <f>VLOOKUP($B21,[1]上期所raw!$B:$Z,9,0)</f>
        <v>-0.5162793629506</v>
      </c>
      <c r="V21" s="14">
        <f t="shared" si="3"/>
        <v>2.58567028882312e-5</v>
      </c>
      <c r="W21" s="37">
        <f>VLOOKUP($B21,[1]上期所raw!$B:$Z,18,0)</f>
        <v>78300</v>
      </c>
      <c r="X21" s="14">
        <f t="shared" si="4"/>
        <v>0.00254242447611201</v>
      </c>
      <c r="Y21" s="39">
        <f>VLOOKUP($B21,[1]上期所raw!$B:$Z,21,0)</f>
        <v>62071</v>
      </c>
      <c r="Z21" s="43">
        <f>VLOOKUP($B21,[1]上期所raw!$B:$Z,22,0)</f>
        <v>0.261458652188623</v>
      </c>
    </row>
    <row r="22" s="1" customFormat="1" spans="1:26">
      <c r="A22" s="11"/>
      <c r="B22" s="12" t="s">
        <v>44</v>
      </c>
      <c r="C22" s="13">
        <f>VLOOKUP($B22,[1]上期所raw!$B:$Z,10,0)</f>
        <v>779133</v>
      </c>
      <c r="D22" s="13">
        <f>VLOOKUP($B22,[1]上期所raw!$B:$Z,11,0)</f>
        <v>457473</v>
      </c>
      <c r="E22" s="14">
        <f>VLOOKUP($B22,[1]上期所raw!$B:$Z,12,0)</f>
        <v>0.703123463024047</v>
      </c>
      <c r="F22" s="13">
        <f>VLOOKUP($B22,[1]上期所raw!$B:$Z,13,0)</f>
        <v>700888</v>
      </c>
      <c r="G22" s="14">
        <f>VLOOKUP($B22,[1]上期所raw!$B:$Z,14,0)</f>
        <v>0.111636951980916</v>
      </c>
      <c r="H22" s="14">
        <f t="shared" si="0"/>
        <v>0.00117439947781275</v>
      </c>
      <c r="I22" s="35">
        <f>VLOOKUP($B22,[1]上期所raw!$B:$Z,2,0)</f>
        <v>11.17677795</v>
      </c>
      <c r="J22" s="35">
        <f>VLOOKUP($B22,[1]上期所raw!$B:$Z,3,0)</f>
        <v>5.7736055</v>
      </c>
      <c r="K22" s="14">
        <f>VLOOKUP($B22,[1]上期所raw!$B:$Z,4,0)</f>
        <v>0.935840256144969</v>
      </c>
      <c r="L22" s="35">
        <f>VLOOKUP($B22,[1]上期所raw!$B:$Z,5,0)</f>
        <v>7.48461135</v>
      </c>
      <c r="M22" s="14">
        <f>VLOOKUP($B22,[1]上期所raw!$B:$Z,6,0)</f>
        <v>0.493301044950049</v>
      </c>
      <c r="N22" s="14">
        <f t="shared" si="1"/>
        <v>1.96359306529694e-5</v>
      </c>
      <c r="O22" s="13">
        <f>VLOOKUP($B22,[1]上期所raw!$B:$Z,15,0)</f>
        <v>2322945</v>
      </c>
      <c r="P22" s="13">
        <f>VLOOKUP($B22,[1]上期所raw!$B:$Z,16,0)</f>
        <v>1056837</v>
      </c>
      <c r="Q22" s="14">
        <f>VLOOKUP($B22,[1]上期所raw!$B:$Z,17,0)</f>
        <v>1.19801634499928</v>
      </c>
      <c r="R22" s="14">
        <f t="shared" si="2"/>
        <v>0.00151483538292903</v>
      </c>
      <c r="S22" s="35">
        <f>VLOOKUP($B22,[1]上期所raw!$B:$Z,7,0)</f>
        <v>27.73626415</v>
      </c>
      <c r="T22" s="35">
        <f>VLOOKUP($B22,[1]上期所raw!$B:$Z,8,0)</f>
        <v>11.2544591</v>
      </c>
      <c r="U22" s="14">
        <f>VLOOKUP($B22,[1]上期所raw!$B:$Z,9,0)</f>
        <v>1.46446887438598</v>
      </c>
      <c r="V22" s="14">
        <f t="shared" si="3"/>
        <v>2.15662776984124e-5</v>
      </c>
      <c r="W22" s="37">
        <f>VLOOKUP($B22,[1]上期所raw!$B:$Z,18,0)</f>
        <v>41388</v>
      </c>
      <c r="X22" s="14">
        <f t="shared" si="4"/>
        <v>0.00134388076905905</v>
      </c>
      <c r="Y22" s="39">
        <f>VLOOKUP($B22,[1]上期所raw!$B:$Z,21,0)</f>
        <v>41522</v>
      </c>
      <c r="Z22" s="43">
        <f>VLOOKUP($B22,[1]上期所raw!$B:$Z,22,0)</f>
        <v>-0.00322720485525745</v>
      </c>
    </row>
    <row r="23" s="1" customFormat="1" spans="1:26">
      <c r="A23" s="11"/>
      <c r="B23" s="12" t="s">
        <v>45</v>
      </c>
      <c r="C23" s="13">
        <f>VLOOKUP($B23,[1]上期所raw!$B:$Z,10,0)</f>
        <v>344745</v>
      </c>
      <c r="D23" s="13">
        <f>VLOOKUP($B23,[1]上期所raw!$B:$Z,11,0)</f>
        <v>320936</v>
      </c>
      <c r="E23" s="14">
        <f>VLOOKUP($B23,[1]上期所raw!$B:$Z,12,0)</f>
        <v>0.0741861305680883</v>
      </c>
      <c r="F23" s="13">
        <f>VLOOKUP($B23,[1]上期所raw!$B:$Z,13,0)</f>
        <v>298263</v>
      </c>
      <c r="G23" s="14">
        <f>VLOOKUP($B23,[1]上期所raw!$B:$Z,14,0)</f>
        <v>0.155842327073757</v>
      </c>
      <c r="H23" s="14">
        <f t="shared" si="0"/>
        <v>0.000519639583971616</v>
      </c>
      <c r="I23" s="35">
        <f>VLOOKUP($B23,[1]上期所raw!$B:$Z,2,0)</f>
        <v>18.28381</v>
      </c>
      <c r="J23" s="35">
        <f>VLOOKUP($B23,[1]上期所raw!$B:$Z,3,0)</f>
        <v>13.6684772</v>
      </c>
      <c r="K23" s="14">
        <f>VLOOKUP($B23,[1]上期所raw!$B:$Z,4,0)</f>
        <v>0.33766254517365</v>
      </c>
      <c r="L23" s="35">
        <f>VLOOKUP($B23,[1]上期所raw!$B:$Z,5,0)</f>
        <v>12.6056758</v>
      </c>
      <c r="M23" s="14">
        <f>VLOOKUP($B23,[1]上期所raw!$B:$Z,6,0)</f>
        <v>0.450442664882751</v>
      </c>
      <c r="N23" s="14">
        <f t="shared" si="1"/>
        <v>3.21219251950933e-5</v>
      </c>
      <c r="O23" s="13">
        <f>VLOOKUP($B23,[1]上期所raw!$B:$Z,15,0)</f>
        <v>927244</v>
      </c>
      <c r="P23" s="13">
        <f>VLOOKUP($B23,[1]上期所raw!$B:$Z,16,0)</f>
        <v>831448</v>
      </c>
      <c r="Q23" s="14">
        <f>VLOOKUP($B23,[1]上期所raw!$B:$Z,17,0)</f>
        <v>0.115215864371554</v>
      </c>
      <c r="R23" s="14">
        <f t="shared" si="2"/>
        <v>0.000604672956014302</v>
      </c>
      <c r="S23" s="35">
        <f>VLOOKUP($B23,[1]上期所raw!$B:$Z,7,0)</f>
        <v>41.9951544</v>
      </c>
      <c r="T23" s="35">
        <f>VLOOKUP($B23,[1]上期所raw!$B:$Z,8,0)</f>
        <v>39.9251198</v>
      </c>
      <c r="U23" s="14">
        <f>VLOOKUP($B23,[1]上期所raw!$B:$Z,9,0)</f>
        <v>0.0518479245740422</v>
      </c>
      <c r="V23" s="14">
        <f t="shared" si="3"/>
        <v>3.26532497988957e-5</v>
      </c>
      <c r="W23" s="37">
        <f>VLOOKUP($B23,[1]上期所raw!$B:$Z,18,0)</f>
        <v>27540</v>
      </c>
      <c r="X23" s="14">
        <f t="shared" si="4"/>
        <v>0.000894232057115257</v>
      </c>
      <c r="Y23" s="39">
        <f>VLOOKUP($B23,[1]上期所raw!$B:$Z,21,0)</f>
        <v>31856</v>
      </c>
      <c r="Z23" s="43">
        <f>VLOOKUP($B23,[1]上期所raw!$B:$Z,22,0)</f>
        <v>-0.135484681064792</v>
      </c>
    </row>
    <row r="24" s="1" customFormat="1" spans="1:26">
      <c r="A24" s="11"/>
      <c r="B24" s="15" t="s">
        <v>46</v>
      </c>
      <c r="C24" s="16">
        <f>VLOOKUP($B24,[1]上期所raw!$B:$Z,10,0)</f>
        <v>175519708</v>
      </c>
      <c r="D24" s="16">
        <f>VLOOKUP($B24,[1]上期所raw!$B:$Z,11,0)</f>
        <v>263295036</v>
      </c>
      <c r="E24" s="17">
        <f>VLOOKUP($B24,[1]上期所raw!$B:$Z,12,0)</f>
        <v>-0.333372513714995</v>
      </c>
      <c r="F24" s="16">
        <f>VLOOKUP($B24,[1]上期所raw!$B:$Z,13,0)</f>
        <v>105459661</v>
      </c>
      <c r="G24" s="17">
        <f>VLOOKUP($B24,[1]上期所raw!$B:$Z,14,0)</f>
        <v>0.664330288336504</v>
      </c>
      <c r="H24" s="17">
        <f t="shared" si="0"/>
        <v>0.264563628316406</v>
      </c>
      <c r="I24" s="36">
        <f>VLOOKUP($B24,[1]上期所raw!$B:$Z,2,0)</f>
        <v>155050.88668455</v>
      </c>
      <c r="J24" s="36">
        <f>VLOOKUP($B24,[1]上期所raw!$B:$Z,3,0)</f>
        <v>213619.07823995</v>
      </c>
      <c r="K24" s="17">
        <f>VLOOKUP($B24,[1]上期所raw!$B:$Z,4,0)</f>
        <v>-0.274171165038043</v>
      </c>
      <c r="L24" s="36">
        <f>VLOOKUP($B24,[1]上期所raw!$B:$Z,5,0)</f>
        <v>94289.11729985</v>
      </c>
      <c r="M24" s="17">
        <f>VLOOKUP($B24,[1]上期所raw!$B:$Z,6,0)</f>
        <v>0.64441974985799</v>
      </c>
      <c r="N24" s="17">
        <f t="shared" si="1"/>
        <v>0.27240126557397</v>
      </c>
      <c r="O24" s="16">
        <f>VLOOKUP($B24,[1]上期所raw!$B:$Z,15,0)</f>
        <v>401671291</v>
      </c>
      <c r="P24" s="16">
        <f>VLOOKUP($B24,[1]上期所raw!$B:$Z,16,0)</f>
        <v>612174047</v>
      </c>
      <c r="Q24" s="17">
        <f>VLOOKUP($B24,[1]上期所raw!$B:$Z,17,0)</f>
        <v>-0.343860960835538</v>
      </c>
      <c r="R24" s="17">
        <f t="shared" si="2"/>
        <v>0.261937275274956</v>
      </c>
      <c r="S24" s="36">
        <f>VLOOKUP($B24,[1]上期所raw!$B:$Z,7,0)</f>
        <v>361519.1423868</v>
      </c>
      <c r="T24" s="36">
        <f>VLOOKUP($B24,[1]上期所raw!$B:$Z,8,0)</f>
        <v>500904.34251745</v>
      </c>
      <c r="U24" s="17">
        <f>VLOOKUP($B24,[1]上期所raw!$B:$Z,9,0)</f>
        <v>-0.278267102716911</v>
      </c>
      <c r="V24" s="17">
        <f t="shared" si="3"/>
        <v>0.281098498912501</v>
      </c>
      <c r="W24" s="38">
        <f>VLOOKUP($B24,[1]上期所raw!$B:$Z,18,0)</f>
        <v>7429870</v>
      </c>
      <c r="X24" s="17">
        <f t="shared" si="4"/>
        <v>0.241250106543171</v>
      </c>
      <c r="Y24" s="38">
        <f>VLOOKUP($B24,[1]上期所raw!$B:$Z,21,0)</f>
        <v>8488588</v>
      </c>
      <c r="Z24" s="44">
        <f>VLOOKUP($B24,[1]上期所raw!$B:$Z,22,0)</f>
        <v>-0.12472250979786</v>
      </c>
    </row>
    <row r="25" s="1" customFormat="1" spans="1:26">
      <c r="A25" s="18" t="s">
        <v>47</v>
      </c>
      <c r="B25" s="12" t="s">
        <v>48</v>
      </c>
      <c r="C25" s="13">
        <f>VLOOKUP($B25,[1]上期能源raw!$B:$X,10,0)</f>
        <v>6607138</v>
      </c>
      <c r="D25" s="13">
        <f>VLOOKUP($B25,[1]上期能源raw!$B:$X,11,0)</f>
        <v>5318156</v>
      </c>
      <c r="E25" s="14">
        <f>VLOOKUP($B25,[1]上期能源raw!$B:$X,12,0)</f>
        <v>0.242373860413271</v>
      </c>
      <c r="F25" s="13">
        <f>VLOOKUP($B25,[1]上期能源raw!$B:$X,13,0)</f>
        <v>3476357</v>
      </c>
      <c r="G25" s="14">
        <f>VLOOKUP($B25,[1]上期能源raw!$B:$X,14,0)</f>
        <v>0.900592488055743</v>
      </c>
      <c r="H25" s="19">
        <f t="shared" si="0"/>
        <v>0.00995904347144426</v>
      </c>
      <c r="I25" s="35">
        <f>VLOOKUP($B25,[1]上期能源raw!$B:$X,2,0)</f>
        <v>45481.648054</v>
      </c>
      <c r="J25" s="35">
        <f>VLOOKUP($B25,[1]上期能源raw!$B:$X,3,0)</f>
        <v>21531.186633</v>
      </c>
      <c r="K25" s="14">
        <f>VLOOKUP($B25,[1]上期能源raw!$B:$X,4,0)</f>
        <v>1.11236142388418</v>
      </c>
      <c r="L25" s="35">
        <f>VLOOKUP($B25,[1]上期能源raw!$B:$X,5,0)</f>
        <v>20059.253689</v>
      </c>
      <c r="M25" s="14">
        <f>VLOOKUP($B25,[1]上期能源raw!$B:$X,6,0)</f>
        <v>1.26736491592112</v>
      </c>
      <c r="N25" s="19">
        <f t="shared" si="1"/>
        <v>0.0799044672056945</v>
      </c>
      <c r="O25" s="13">
        <f>VLOOKUP($B25,[1]上期能源raw!$B:$X,15,0)</f>
        <v>13387695</v>
      </c>
      <c r="P25" s="13">
        <f>VLOOKUP($B25,[1]上期能源raw!$B:$X,16,0)</f>
        <v>11444683</v>
      </c>
      <c r="Q25" s="14">
        <f>VLOOKUP($B25,[1]上期能源raw!$B:$X,17,0)</f>
        <v>0.169774208687126</v>
      </c>
      <c r="R25" s="19">
        <f t="shared" si="2"/>
        <v>0.00873036343170502</v>
      </c>
      <c r="S25" s="35">
        <f>VLOOKUP($B25,[1]上期能源raw!$B:$X,7,0)</f>
        <v>82935.536339</v>
      </c>
      <c r="T25" s="35">
        <f>VLOOKUP($B25,[1]上期能源raw!$B:$X,8,0)</f>
        <v>43139.603329</v>
      </c>
      <c r="U25" s="14">
        <f>VLOOKUP($B25,[1]上期能源raw!$B:$X,9,0)</f>
        <v>0.922491862210697</v>
      </c>
      <c r="V25" s="19">
        <f t="shared" si="3"/>
        <v>0.0644863633429756</v>
      </c>
      <c r="W25" s="39">
        <f>VLOOKUP($B25,[1]上期能源raw!$B:$X,18,0)</f>
        <v>55224</v>
      </c>
      <c r="X25" s="14">
        <f t="shared" si="4"/>
        <v>0.00179313983740497</v>
      </c>
      <c r="Y25" s="39">
        <f>VLOOKUP($B25,[1]上期能源raw!$B:$X,21,0)</f>
        <v>75117</v>
      </c>
      <c r="Z25" s="43">
        <f>VLOOKUP($B25,[1]上期能源raw!$B:$X,22,0)</f>
        <v>-0.264826870082671</v>
      </c>
    </row>
    <row r="26" s="1" customFormat="1" spans="1:26">
      <c r="A26" s="20"/>
      <c r="B26" s="12" t="s">
        <v>49</v>
      </c>
      <c r="C26" s="13">
        <f>VLOOKUP($B26,[1]上期能源raw!$B:$X,10,0)</f>
        <v>531501</v>
      </c>
      <c r="D26" s="13">
        <f>VLOOKUP($B26,[1]上期能源raw!$B:$X,11,0)</f>
        <v>413680</v>
      </c>
      <c r="E26" s="14">
        <f>VLOOKUP($B26,[1]上期能源raw!$B:$X,12,0)</f>
        <v>0.28481193192806</v>
      </c>
      <c r="F26" s="13">
        <f>VLOOKUP($B26,[1]上期能源raw!$B:$X,13,0)</f>
        <v>305417</v>
      </c>
      <c r="G26" s="14">
        <f>VLOOKUP($B26,[1]上期能源raw!$B:$X,14,0)</f>
        <v>0.740246941067459</v>
      </c>
      <c r="H26" s="19">
        <f t="shared" si="0"/>
        <v>0.000801139852704166</v>
      </c>
      <c r="I26" s="35">
        <f>VLOOKUP($B26,[1]上期能源raw!$B:$X,2,0)</f>
        <v>1737.2528</v>
      </c>
      <c r="J26" s="35">
        <f>VLOOKUP($B26,[1]上期能源raw!$B:$X,3,0)</f>
        <v>1225.638709</v>
      </c>
      <c r="K26" s="14">
        <f>VLOOKUP($B26,[1]上期能源raw!$B:$X,4,0)</f>
        <v>0.417426511779663</v>
      </c>
      <c r="L26" s="35">
        <f>VLOOKUP($B26,[1]上期能源raw!$B:$X,5,0)</f>
        <v>970.580943</v>
      </c>
      <c r="M26" s="14">
        <f>VLOOKUP($B26,[1]上期能源raw!$B:$X,6,0)</f>
        <v>0.789910272326458</v>
      </c>
      <c r="N26" s="19">
        <f t="shared" si="1"/>
        <v>0.00305209387357265</v>
      </c>
      <c r="O26" s="13">
        <f>VLOOKUP($B26,[1]上期能源raw!$B:$X,15,0)</f>
        <v>1138232</v>
      </c>
      <c r="P26" s="13">
        <f>VLOOKUP($B26,[1]上期能源raw!$B:$X,16,0)</f>
        <v>1158401</v>
      </c>
      <c r="Q26" s="14">
        <f>VLOOKUP($B26,[1]上期能源raw!$B:$X,17,0)</f>
        <v>-0.0174110692238698</v>
      </c>
      <c r="R26" s="19">
        <f t="shared" si="2"/>
        <v>0.000742262131725922</v>
      </c>
      <c r="S26" s="35">
        <f>VLOOKUP($B26,[1]上期能源raw!$B:$X,7,0)</f>
        <v>3654.1032555</v>
      </c>
      <c r="T26" s="35">
        <f>VLOOKUP($B26,[1]上期能源raw!$B:$X,8,0)</f>
        <v>3250.4274485</v>
      </c>
      <c r="U26" s="14">
        <f>VLOOKUP($B26,[1]上期能源raw!$B:$X,9,0)</f>
        <v>0.124191606610474</v>
      </c>
      <c r="V26" s="19">
        <f t="shared" si="3"/>
        <v>0.00284124080736323</v>
      </c>
      <c r="W26" s="39">
        <f>VLOOKUP($B26,[1]上期能源raw!$B:$X,18,0)</f>
        <v>24603</v>
      </c>
      <c r="X26" s="14">
        <f t="shared" si="4"/>
        <v>0.00079886678653619</v>
      </c>
      <c r="Y26" s="39">
        <f>VLOOKUP($B26,[1]上期能源raw!$B:$X,21,0)</f>
        <v>18227</v>
      </c>
      <c r="Z26" s="43">
        <f>VLOOKUP($B26,[1]上期能源raw!$B:$X,22,0)</f>
        <v>0.349810720359906</v>
      </c>
    </row>
    <row r="27" s="1" customFormat="1" spans="1:26">
      <c r="A27" s="20"/>
      <c r="B27" s="12" t="s">
        <v>50</v>
      </c>
      <c r="C27" s="13">
        <f>VLOOKUP($B27,[1]上期能源raw!$B:$X,10,0)</f>
        <v>2888009</v>
      </c>
      <c r="D27" s="13">
        <f>VLOOKUP($B27,[1]上期能源raw!$B:$X,11,0)</f>
        <v>1601156</v>
      </c>
      <c r="E27" s="14">
        <f>VLOOKUP($B27,[1]上期能源raw!$B:$X,12,0)</f>
        <v>0.803702449979889</v>
      </c>
      <c r="F27" s="13">
        <f>VLOOKUP($B27,[1]上期能源raw!$B:$X,13,0)</f>
        <v>1576405</v>
      </c>
      <c r="G27" s="14">
        <f>VLOOKUP($B27,[1]上期能源raw!$B:$X,14,0)</f>
        <v>0.832022227790447</v>
      </c>
      <c r="H27" s="19">
        <f t="shared" si="0"/>
        <v>0.00435314158368151</v>
      </c>
      <c r="I27" s="35">
        <f>VLOOKUP($B27,[1]上期能源raw!$B:$X,2,0)</f>
        <v>1444.2107894</v>
      </c>
      <c r="J27" s="35">
        <f>VLOOKUP($B27,[1]上期能源raw!$B:$X,3,0)</f>
        <v>516.6431863</v>
      </c>
      <c r="K27" s="14">
        <f>VLOOKUP($B27,[1]上期能源raw!$B:$X,4,0)</f>
        <v>1.79537372735501</v>
      </c>
      <c r="L27" s="35">
        <f>VLOOKUP($B27,[1]上期能源raw!$B:$X,5,0)</f>
        <v>675.7188575</v>
      </c>
      <c r="M27" s="14">
        <f>VLOOKUP($B27,[1]上期能源raw!$B:$X,6,0)</f>
        <v>1.13729537568811</v>
      </c>
      <c r="N27" s="19">
        <f t="shared" si="1"/>
        <v>0.00253726279933195</v>
      </c>
      <c r="O27" s="13">
        <f>VLOOKUP($B27,[1]上期能源raw!$B:$X,15,0)</f>
        <v>5902125</v>
      </c>
      <c r="P27" s="13">
        <f>VLOOKUP($B27,[1]上期能源raw!$B:$X,16,0)</f>
        <v>4395964</v>
      </c>
      <c r="Q27" s="14">
        <f>VLOOKUP($B27,[1]上期能源raw!$B:$X,17,0)</f>
        <v>0.342623597463492</v>
      </c>
      <c r="R27" s="19">
        <f t="shared" si="2"/>
        <v>0.00384888483561599</v>
      </c>
      <c r="S27" s="35">
        <f>VLOOKUP($B27,[1]上期能源raw!$B:$X,7,0)</f>
        <v>2680.6948688</v>
      </c>
      <c r="T27" s="35">
        <f>VLOOKUP($B27,[1]上期能源raw!$B:$X,8,0)</f>
        <v>1333.2973044</v>
      </c>
      <c r="U27" s="14">
        <f>VLOOKUP($B27,[1]上期能源raw!$B:$X,9,0)</f>
        <v>1.01057548076747</v>
      </c>
      <c r="V27" s="19">
        <f t="shared" si="3"/>
        <v>0.00208436902866928</v>
      </c>
      <c r="W27" s="39">
        <f>VLOOKUP($B27,[1]上期能源raw!$B:$X,18,0)</f>
        <v>59891</v>
      </c>
      <c r="X27" s="14">
        <f t="shared" si="4"/>
        <v>0.00194467872667719</v>
      </c>
      <c r="Y27" s="39">
        <f>VLOOKUP($B27,[1]上期能源raw!$B:$X,21,0)</f>
        <v>85376</v>
      </c>
      <c r="Z27" s="43">
        <f>VLOOKUP($B27,[1]上期能源raw!$B:$X,22,0)</f>
        <v>-0.298503092203898</v>
      </c>
    </row>
    <row r="28" s="1" customFormat="1" spans="1:26">
      <c r="A28" s="20"/>
      <c r="B28" s="12" t="s">
        <v>51</v>
      </c>
      <c r="C28" s="13">
        <f>VLOOKUP($B28,[1]上期能源raw!$B:$X,10,0)</f>
        <v>1176750</v>
      </c>
      <c r="D28" s="13">
        <f>VLOOKUP($B28,[1]上期能源raw!$B:$X,11,0)</f>
        <v>962537</v>
      </c>
      <c r="E28" s="14">
        <f>VLOOKUP($B28,[1]上期能源raw!$B:$X,12,0)</f>
        <v>0.222550405854528</v>
      </c>
      <c r="F28" s="13">
        <f>VLOOKUP($B28,[1]上期能源raw!$B:$X,13,0)</f>
        <v>825745</v>
      </c>
      <c r="G28" s="14">
        <f>VLOOKUP($B28,[1]上期能源raw!$B:$X,14,0)</f>
        <v>0.425076748875258</v>
      </c>
      <c r="H28" s="19">
        <f t="shared" si="0"/>
        <v>0.00177373386253201</v>
      </c>
      <c r="I28" s="35">
        <f>VLOOKUP($B28,[1]上期能源raw!$B:$X,2,0)</f>
        <v>1343.6625395</v>
      </c>
      <c r="J28" s="35">
        <f>VLOOKUP($B28,[1]上期能源raw!$B:$X,3,0)</f>
        <v>1133.207336</v>
      </c>
      <c r="K28" s="14">
        <f>VLOOKUP($B28,[1]上期能源raw!$B:$X,4,0)</f>
        <v>0.185716414652649</v>
      </c>
      <c r="L28" s="35">
        <f>VLOOKUP($B28,[1]上期能源raw!$B:$X,5,0)</f>
        <v>978.4529815</v>
      </c>
      <c r="M28" s="14">
        <f>VLOOKUP($B28,[1]上期能源raw!$B:$X,6,0)</f>
        <v>0.373252026316198</v>
      </c>
      <c r="N28" s="19">
        <f t="shared" si="1"/>
        <v>0.00236061453172332</v>
      </c>
      <c r="O28" s="13">
        <f>VLOOKUP($B28,[1]上期能源raw!$B:$X,15,0)</f>
        <v>2781052</v>
      </c>
      <c r="P28" s="13">
        <f>VLOOKUP($B28,[1]上期能源raw!$B:$X,16,0)</f>
        <v>2210409</v>
      </c>
      <c r="Q28" s="14">
        <f>VLOOKUP($B28,[1]上期能源raw!$B:$X,17,0)</f>
        <v>0.258161724821063</v>
      </c>
      <c r="R28" s="19">
        <f t="shared" si="2"/>
        <v>0.00181357542747053</v>
      </c>
      <c r="S28" s="35">
        <f>VLOOKUP($B28,[1]上期能源raw!$B:$X,7,0)</f>
        <v>3244.1877625</v>
      </c>
      <c r="T28" s="35">
        <f>VLOOKUP($B28,[1]上期能源raw!$B:$X,8,0)</f>
        <v>2533.8281095</v>
      </c>
      <c r="U28" s="14">
        <f>VLOOKUP($B28,[1]上期能源raw!$B:$X,9,0)</f>
        <v>0.280350371967487</v>
      </c>
      <c r="V28" s="19">
        <f t="shared" si="3"/>
        <v>0.00252251182111222</v>
      </c>
      <c r="W28" s="39">
        <f>VLOOKUP($B28,[1]上期能源raw!$B:$X,18,0)</f>
        <v>65185</v>
      </c>
      <c r="X28" s="14">
        <f t="shared" si="4"/>
        <v>0.0021165764939382</v>
      </c>
      <c r="Y28" s="39">
        <f>VLOOKUP($B28,[1]上期能源raw!$B:$X,21,0)</f>
        <v>74281</v>
      </c>
      <c r="Z28" s="43">
        <f>VLOOKUP($B28,[1]上期能源raw!$B:$X,22,0)</f>
        <v>-0.122453924960623</v>
      </c>
    </row>
    <row r="29" s="1" customFormat="1" spans="1:26">
      <c r="A29" s="20"/>
      <c r="B29" s="12" t="s">
        <v>52</v>
      </c>
      <c r="C29" s="13">
        <f>VLOOKUP($B29,[1]上期能源raw!$B:$X,10,0)</f>
        <v>379743</v>
      </c>
      <c r="D29" s="13">
        <f>VLOOKUP($B29,[1]上期能源raw!$B:$X,11,0)</f>
        <v>0</v>
      </c>
      <c r="E29" s="14">
        <f>VLOOKUP($B29,[1]上期能源raw!$B:$X,12,0)</f>
        <v>0</v>
      </c>
      <c r="F29" s="13">
        <f>VLOOKUP($B29,[1]上期能源raw!$B:$X,13,0)</f>
        <v>272178</v>
      </c>
      <c r="G29" s="14">
        <f>VLOOKUP($B29,[1]上期能源raw!$B:$X,14,0)</f>
        <v>0.39520093468245</v>
      </c>
      <c r="H29" s="19">
        <f t="shared" si="0"/>
        <v>0.0005723926221878</v>
      </c>
      <c r="I29" s="35">
        <f>VLOOKUP($B29,[1]上期能源raw!$B:$X,2,0)</f>
        <v>54.757946</v>
      </c>
      <c r="J29" s="35">
        <f>VLOOKUP($B29,[1]上期能源raw!$B:$X,3,0)</f>
        <v>0</v>
      </c>
      <c r="K29" s="14">
        <f>VLOOKUP($B29,[1]上期能源raw!$B:$X,4,0)</f>
        <v>0</v>
      </c>
      <c r="L29" s="35">
        <f>VLOOKUP($B29,[1]上期能源raw!$B:$X,5,0)</f>
        <v>27.073511</v>
      </c>
      <c r="M29" s="14">
        <f>VLOOKUP($B29,[1]上期能源raw!$B:$X,6,0)</f>
        <v>1.02256537764902</v>
      </c>
      <c r="N29" s="19">
        <f t="shared" si="1"/>
        <v>9.62015381503613e-5</v>
      </c>
      <c r="O29" s="13">
        <f>VLOOKUP($B29,[1]上期能源raw!$B:$X,15,0)</f>
        <v>904157</v>
      </c>
      <c r="P29" s="13">
        <f>VLOOKUP($B29,[1]上期能源raw!$B:$X,16,0)</f>
        <v>0</v>
      </c>
      <c r="Q29" s="14">
        <f>VLOOKUP($B29,[1]上期能源raw!$B:$X,17,0)</f>
        <v>0</v>
      </c>
      <c r="R29" s="19">
        <f t="shared" si="2"/>
        <v>0.000589617496463739</v>
      </c>
      <c r="S29" s="35">
        <f>VLOOKUP($B29,[1]上期能源raw!$B:$X,7,0)</f>
        <v>102.4176075</v>
      </c>
      <c r="T29" s="35">
        <f>VLOOKUP($B29,[1]上期能源raw!$B:$X,8,0)</f>
        <v>0</v>
      </c>
      <c r="U29" s="14">
        <f>VLOOKUP($B29,[1]上期能源raw!$B:$X,9,0)</f>
        <v>0</v>
      </c>
      <c r="V29" s="19">
        <f t="shared" si="3"/>
        <v>7.96346094992034e-5</v>
      </c>
      <c r="W29" s="39">
        <f>VLOOKUP($B29,[1]上期能源raw!$B:$X,18,0)</f>
        <v>18045</v>
      </c>
      <c r="X29" s="14">
        <f t="shared" si="4"/>
        <v>0.000585926560299376</v>
      </c>
      <c r="Y29" s="39">
        <f>VLOOKUP($B29,[1]上期能源raw!$B:$X,21,0)</f>
        <v>20269</v>
      </c>
      <c r="Z29" s="43">
        <f>VLOOKUP($B29,[1]上期能源raw!$B:$X,22,0)</f>
        <v>-0.109724209383788</v>
      </c>
    </row>
    <row r="30" s="2" customFormat="1" spans="1:26">
      <c r="A30" s="21"/>
      <c r="B30" s="15" t="s">
        <v>46</v>
      </c>
      <c r="C30" s="16">
        <f>VLOOKUP($B30,[1]上期能源raw!$B:$X,10,0)</f>
        <v>11583141</v>
      </c>
      <c r="D30" s="16">
        <f>VLOOKUP($B30,[1]上期能源raw!$B:$X,11,0)</f>
        <v>8295529</v>
      </c>
      <c r="E30" s="17">
        <f>VLOOKUP($B30,[1]上期能源raw!$B:$X,12,0)</f>
        <v>0.396311314203109</v>
      </c>
      <c r="F30" s="16">
        <f>VLOOKUP($B30,[1]上期能源raw!$B:$X,13,0)</f>
        <v>6456102</v>
      </c>
      <c r="G30" s="17">
        <f>VLOOKUP($B30,[1]上期能源raw!$B:$X,14,0)</f>
        <v>0.794138475507357</v>
      </c>
      <c r="H30" s="22">
        <f t="shared" si="0"/>
        <v>0.0174594513925498</v>
      </c>
      <c r="I30" s="36">
        <f>VLOOKUP($B30,[1]上期能源raw!$B:$X,2,0)</f>
        <v>50061.5321289</v>
      </c>
      <c r="J30" s="36">
        <f>VLOOKUP($B30,[1]上期能源raw!$B:$X,3,0)</f>
        <v>24406.6758643</v>
      </c>
      <c r="K30" s="17">
        <f>VLOOKUP($B30,[1]上期能源raw!$B:$X,4,0)</f>
        <v>1.0511409422258</v>
      </c>
      <c r="L30" s="36">
        <f>VLOOKUP($B30,[1]上期能源raw!$B:$X,5,0)</f>
        <v>22711.079982</v>
      </c>
      <c r="M30" s="17">
        <f>VLOOKUP($B30,[1]上期能源raw!$B:$X,6,0)</f>
        <v>1.20427791934937</v>
      </c>
      <c r="N30" s="22">
        <f t="shared" si="1"/>
        <v>0.0879506399484727</v>
      </c>
      <c r="O30" s="16">
        <f>VLOOKUP($B30,[1]上期能源raw!$B:$X,15,0)</f>
        <v>24113261</v>
      </c>
      <c r="P30" s="16">
        <f>VLOOKUP($B30,[1]上期能源raw!$B:$X,16,0)</f>
        <v>19209457</v>
      </c>
      <c r="Q30" s="17">
        <f>VLOOKUP($B30,[1]上期能源raw!$B:$X,17,0)</f>
        <v>0.255280719283216</v>
      </c>
      <c r="R30" s="22">
        <f t="shared" si="2"/>
        <v>0.0157247033229812</v>
      </c>
      <c r="S30" s="36">
        <f>VLOOKUP($B30,[1]上期能源raw!$B:$X,7,0)</f>
        <v>92616.9398333</v>
      </c>
      <c r="T30" s="36">
        <f>VLOOKUP($B30,[1]上期能源raw!$B:$X,8,0)</f>
        <v>50257.1561914</v>
      </c>
      <c r="U30" s="17">
        <f>VLOOKUP($B30,[1]上期能源raw!$B:$X,9,0)</f>
        <v>0.842860735704512</v>
      </c>
      <c r="V30" s="22">
        <f t="shared" si="3"/>
        <v>0.0720141196096195</v>
      </c>
      <c r="W30" s="38">
        <f>VLOOKUP($B30,[1]上期能源raw!$B:$X,18,0)</f>
        <v>222948</v>
      </c>
      <c r="X30" s="17">
        <f t="shared" si="4"/>
        <v>0.00723918840485593</v>
      </c>
      <c r="Y30" s="38">
        <f>VLOOKUP($B30,[1]上期能源raw!$B:$X,21,0)</f>
        <v>273270</v>
      </c>
      <c r="Z30" s="44">
        <f>VLOOKUP($B30,[1]上期能源raw!$B:$X,22,0)</f>
        <v>-0.184147546382698</v>
      </c>
    </row>
    <row r="31" s="1" customFormat="1" spans="1:26">
      <c r="A31" s="23" t="s">
        <v>53</v>
      </c>
      <c r="B31" s="24" t="s">
        <v>54</v>
      </c>
      <c r="C31" s="13">
        <f>VLOOKUP($B31,[1]郑商所raw!$B:$Z,2,0)</f>
        <v>6431706</v>
      </c>
      <c r="D31" s="13">
        <f>VLOOKUP($B31,[1]郑商所raw!$B:$Z,3,0)</f>
        <v>12566080</v>
      </c>
      <c r="E31" s="25">
        <f>IFERROR((VLOOKUP($B31,[1]郑商所raw!$B:$Z,4,0)/100),"-")</f>
        <v>-0.4882</v>
      </c>
      <c r="F31" s="13">
        <f>VLOOKUP($B31,[1]郑商所raw!$B:$Z,5,0)</f>
        <v>4220421</v>
      </c>
      <c r="G31" s="14">
        <f>IFERROR((VLOOKUP($B31,[1]郑商所raw!$B:$Z,6,0)/100),"-")</f>
        <v>0.5239</v>
      </c>
      <c r="H31" s="26">
        <f t="shared" si="0"/>
        <v>0.00969461204678166</v>
      </c>
      <c r="I31" s="35">
        <f>VLOOKUP($B31,[1]郑商所raw!$B:$Z,7,0)</f>
        <v>6815.51</v>
      </c>
      <c r="J31" s="35">
        <f>VLOOKUP($B31,[1]郑商所raw!$B:$Z,8,0)</f>
        <v>9804.775</v>
      </c>
      <c r="K31" s="14">
        <f>IFERROR((VLOOKUP($B31,[1]郑商所raw!$B:$Z,9,0)/100),"-")</f>
        <v>-0.3049</v>
      </c>
      <c r="L31" s="35">
        <f>VLOOKUP($B31,[1]郑商所raw!$B:$Z,10,0)</f>
        <v>4499.24</v>
      </c>
      <c r="M31" s="14">
        <f>IFERROR((VLOOKUP($B31,[1]郑商所raw!$B:$Z,11,0)/100),"-")</f>
        <v>0.5148</v>
      </c>
      <c r="N31" s="26">
        <f t="shared" si="1"/>
        <v>0.0119738338117936</v>
      </c>
      <c r="O31" s="13">
        <f>VLOOKUP($B31,[1]郑商所raw!$B:$Z,12,0)</f>
        <v>15581934</v>
      </c>
      <c r="P31" s="13">
        <f>VLOOKUP($B31,[1]郑商所raw!$B:$Z,13,0)</f>
        <v>26998524</v>
      </c>
      <c r="Q31" s="14">
        <f>IFERROR((VLOOKUP($B31,[1]郑商所raw!$B:$Z,14,0)/100),"-")</f>
        <v>-0.4229</v>
      </c>
      <c r="R31" s="40">
        <f t="shared" si="2"/>
        <v>0.0101612672524166</v>
      </c>
      <c r="S31" s="35">
        <f>VLOOKUP($B31,[1]郑商所raw!$B:$Z,15,0)</f>
        <v>16585.385</v>
      </c>
      <c r="T31" s="35">
        <f>VLOOKUP($B31,[1]郑商所raw!$B:$Z,16,0)</f>
        <v>21012.04</v>
      </c>
      <c r="U31" s="14">
        <f>IFERROR((VLOOKUP($B31,[1]郑商所raw!$B:$Z,17,0)/100),"-")</f>
        <v>-0.2107</v>
      </c>
      <c r="V31" s="26">
        <f t="shared" si="3"/>
        <v>0.0128959335226508</v>
      </c>
      <c r="W31" s="39">
        <f>VLOOKUP($B31,[1]郑商所raw!$B:$Z,18,0)</f>
        <v>516086</v>
      </c>
      <c r="X31" s="26">
        <f t="shared" si="4"/>
        <v>0.0167574671542623</v>
      </c>
      <c r="Y31" s="13">
        <f>VLOOKUP($B31,[1]郑商所raw!$B:$Z,19,0)</f>
        <v>533760</v>
      </c>
      <c r="Z31" s="43">
        <f>IFERROR((VLOOKUP($B31,[1]郑商所raw!$B:$Z,20,0)/100),"-")</f>
        <v>-0.0331</v>
      </c>
    </row>
    <row r="32" s="1" customFormat="1" spans="1:26">
      <c r="A32" s="23"/>
      <c r="B32" s="24" t="s">
        <v>55</v>
      </c>
      <c r="C32" s="13">
        <f>VLOOKUP($B32,[1]郑商所raw!$B:$Z,2,0)</f>
        <v>1219690</v>
      </c>
      <c r="D32" s="13">
        <f>VLOOKUP($B32,[1]郑商所raw!$B:$Z,3,0)</f>
        <v>902941</v>
      </c>
      <c r="E32" s="25">
        <f>IFERROR((VLOOKUP($B32,[1]郑商所raw!$B:$Z,4,0)/100),"-")</f>
        <v>0.3508</v>
      </c>
      <c r="F32" s="13">
        <f>VLOOKUP($B32,[1]郑商所raw!$B:$Z,5,0)</f>
        <v>610976</v>
      </c>
      <c r="G32" s="14">
        <f>IFERROR((VLOOKUP($B32,[1]郑商所raw!$B:$Z,6,0)/100),"-")</f>
        <v>0.9963</v>
      </c>
      <c r="H32" s="26">
        <f t="shared" si="0"/>
        <v>0.00183845800279726</v>
      </c>
      <c r="I32" s="35">
        <f>VLOOKUP($B32,[1]郑商所raw!$B:$Z,7,0)</f>
        <v>12.115</v>
      </c>
      <c r="J32" s="35">
        <f>VLOOKUP($B32,[1]郑商所raw!$B:$Z,8,0)</f>
        <v>10.815</v>
      </c>
      <c r="K32" s="14">
        <f>IFERROR((VLOOKUP($B32,[1]郑商所raw!$B:$Z,9,0)/100),"-")</f>
        <v>0.1205</v>
      </c>
      <c r="L32" s="35">
        <f>VLOOKUP($B32,[1]郑商所raw!$B:$Z,10,0)</f>
        <v>9.135</v>
      </c>
      <c r="M32" s="14">
        <f>IFERROR((VLOOKUP($B32,[1]郑商所raw!$B:$Z,11,0)/100),"-")</f>
        <v>0.3265</v>
      </c>
      <c r="N32" s="26">
        <f t="shared" si="1"/>
        <v>2.12842467592124e-5</v>
      </c>
      <c r="O32" s="13">
        <f>VLOOKUP($B32,[1]郑商所raw!$B:$Z,12,0)</f>
        <v>2426678</v>
      </c>
      <c r="P32" s="13">
        <f>VLOOKUP($B32,[1]郑商所raw!$B:$Z,13,0)</f>
        <v>1926108</v>
      </c>
      <c r="Q32" s="14">
        <f>IFERROR((VLOOKUP($B32,[1]郑商所raw!$B:$Z,14,0)/100),"-")</f>
        <v>0.2599</v>
      </c>
      <c r="R32" s="40">
        <f t="shared" si="2"/>
        <v>0.00158248159012609</v>
      </c>
      <c r="S32" s="35">
        <f>VLOOKUP($B32,[1]郑商所raw!$B:$Z,15,0)</f>
        <v>30.085</v>
      </c>
      <c r="T32" s="35">
        <f>VLOOKUP($B32,[1]郑商所raw!$B:$Z,16,0)</f>
        <v>29.04</v>
      </c>
      <c r="U32" s="14">
        <f>IFERROR((VLOOKUP($B32,[1]郑商所raw!$B:$Z,17,0)/100),"-")</f>
        <v>0.036</v>
      </c>
      <c r="V32" s="26">
        <f t="shared" si="3"/>
        <v>2.33925326441895e-5</v>
      </c>
      <c r="W32" s="39">
        <f>VLOOKUP($B32,[1]郑商所raw!$B:$Z,18,0)</f>
        <v>215451</v>
      </c>
      <c r="X32" s="26">
        <f t="shared" si="4"/>
        <v>0.00699575856708567</v>
      </c>
      <c r="Y32" s="13">
        <f>VLOOKUP($B32,[1]郑商所raw!$B:$Z,19,0)</f>
        <v>172599</v>
      </c>
      <c r="Z32" s="43">
        <f>IFERROR((VLOOKUP($B32,[1]郑商所raw!$B:$Z,20,0)/100),"-")</f>
        <v>0.2483</v>
      </c>
    </row>
    <row r="33" s="1" customFormat="1" spans="1:26">
      <c r="A33" s="23"/>
      <c r="B33" s="24" t="s">
        <v>56</v>
      </c>
      <c r="C33" s="13">
        <f>VLOOKUP($B33,[1]郑商所raw!$B:$Z,2,0)</f>
        <v>56777</v>
      </c>
      <c r="D33" s="13">
        <f>VLOOKUP($B33,[1]郑商所raw!$B:$Z,3,0)</f>
        <v>204950</v>
      </c>
      <c r="E33" s="25">
        <f>IFERROR((VLOOKUP($B33,[1]郑商所raw!$B:$Z,4,0)/100),"-")</f>
        <v>-0.723</v>
      </c>
      <c r="F33" s="13">
        <f>VLOOKUP($B33,[1]郑商所raw!$B:$Z,5,0)</f>
        <v>39655</v>
      </c>
      <c r="G33" s="14">
        <f>IFERROR((VLOOKUP($B33,[1]郑商所raw!$B:$Z,6,0)/100),"-")</f>
        <v>0.4318</v>
      </c>
      <c r="H33" s="26">
        <f t="shared" si="0"/>
        <v>8.55808689296623e-5</v>
      </c>
      <c r="I33" s="35">
        <f>VLOOKUP($B33,[1]郑商所raw!$B:$Z,7,0)</f>
        <v>80.55</v>
      </c>
      <c r="J33" s="35">
        <f>VLOOKUP($B33,[1]郑商所raw!$B:$Z,8,0)</f>
        <v>239.685</v>
      </c>
      <c r="K33" s="14">
        <f>IFERROR((VLOOKUP($B33,[1]郑商所raw!$B:$Z,9,0)/100),"-")</f>
        <v>-0.6639</v>
      </c>
      <c r="L33" s="35">
        <f>VLOOKUP($B33,[1]郑商所raw!$B:$Z,10,0)</f>
        <v>56.77</v>
      </c>
      <c r="M33" s="14">
        <f>IFERROR((VLOOKUP($B33,[1]郑商所raw!$B:$Z,11,0)/100),"-")</f>
        <v>0.4189</v>
      </c>
      <c r="N33" s="26">
        <f t="shared" si="1"/>
        <v>0.000141514327400294</v>
      </c>
      <c r="O33" s="13">
        <f>VLOOKUP($B33,[1]郑商所raw!$B:$Z,12,0)</f>
        <v>138599</v>
      </c>
      <c r="P33" s="13">
        <f>VLOOKUP($B33,[1]郑商所raw!$B:$Z,13,0)</f>
        <v>700048</v>
      </c>
      <c r="Q33" s="14">
        <f>IFERROR((VLOOKUP($B33,[1]郑商所raw!$B:$Z,14,0)/100),"-")</f>
        <v>-0.802</v>
      </c>
      <c r="R33" s="40">
        <f t="shared" si="2"/>
        <v>9.03829704270141e-5</v>
      </c>
      <c r="S33" s="35">
        <f>VLOOKUP($B33,[1]郑商所raw!$B:$Z,15,0)</f>
        <v>197.865</v>
      </c>
      <c r="T33" s="35">
        <f>VLOOKUP($B33,[1]郑商所raw!$B:$Z,16,0)</f>
        <v>793.39</v>
      </c>
      <c r="U33" s="14">
        <f>IFERROR((VLOOKUP($B33,[1]郑商所raw!$B:$Z,17,0)/100),"-")</f>
        <v>-0.7506</v>
      </c>
      <c r="V33" s="26">
        <f t="shared" si="3"/>
        <v>0.000153849542019031</v>
      </c>
      <c r="W33" s="39">
        <f>VLOOKUP($B33,[1]郑商所raw!$B:$Z,18,0)</f>
        <v>4171</v>
      </c>
      <c r="X33" s="26">
        <f t="shared" si="4"/>
        <v>0.000135433620560194</v>
      </c>
      <c r="Y33" s="13">
        <f>VLOOKUP($B33,[1]郑商所raw!$B:$Z,19,0)</f>
        <v>3781</v>
      </c>
      <c r="Z33" s="43">
        <f>IFERROR((VLOOKUP($B33,[1]郑商所raw!$B:$Z,20,0)/100),"-")</f>
        <v>0.1031</v>
      </c>
    </row>
    <row r="34" s="1" customFormat="1" spans="1:26">
      <c r="A34" s="23"/>
      <c r="B34" s="24" t="s">
        <v>57</v>
      </c>
      <c r="C34" s="13">
        <f>VLOOKUP($B34,[1]郑商所raw!$B:$Z,2,0)</f>
        <v>152</v>
      </c>
      <c r="D34" s="13">
        <f>VLOOKUP($B34,[1]郑商所raw!$B:$Z,3,0)</f>
        <v>6</v>
      </c>
      <c r="E34" s="25">
        <f>IFERROR((VLOOKUP($B34,[1]郑商所raw!$B:$Z,4,0)/100),"-")</f>
        <v>24.3333</v>
      </c>
      <c r="F34" s="13">
        <f>VLOOKUP($B34,[1]郑商所raw!$B:$Z,5,0)</f>
        <v>4</v>
      </c>
      <c r="G34" s="14">
        <f>IFERROR((VLOOKUP($B34,[1]郑商所raw!$B:$Z,6,0)/100),"-")</f>
        <v>37</v>
      </c>
      <c r="H34" s="26">
        <f t="shared" si="0"/>
        <v>2.29112000938913e-7</v>
      </c>
      <c r="I34" s="35">
        <f>VLOOKUP($B34,[1]郑商所raw!$B:$Z,7,0)</f>
        <v>0.09</v>
      </c>
      <c r="J34" s="35">
        <f>VLOOKUP($B34,[1]郑商所raw!$B:$Z,8,0)</f>
        <v>0.005</v>
      </c>
      <c r="K34" s="14">
        <f>IFERROR((VLOOKUP($B34,[1]郑商所raw!$B:$Z,9,0)/100),"-")</f>
        <v>26.9873</v>
      </c>
      <c r="L34" s="35">
        <f>VLOOKUP($B34,[1]郑商所raw!$B:$Z,10,0)</f>
        <v>0</v>
      </c>
      <c r="M34" s="14">
        <f>IFERROR((VLOOKUP($B34,[1]郑商所raw!$B:$Z,11,0)/100),"-")</f>
        <v>38.7852</v>
      </c>
      <c r="N34" s="26">
        <f t="shared" si="1"/>
        <v>1.58116566927703e-7</v>
      </c>
      <c r="O34" s="13">
        <f>VLOOKUP($B34,[1]郑商所raw!$B:$Z,12,0)</f>
        <v>268</v>
      </c>
      <c r="P34" s="13">
        <f>VLOOKUP($B34,[1]郑商所raw!$B:$Z,13,0)</f>
        <v>8</v>
      </c>
      <c r="Q34" s="14">
        <f>IFERROR((VLOOKUP($B34,[1]郑商所raw!$B:$Z,14,0)/100),"-")</f>
        <v>32.5</v>
      </c>
      <c r="R34" s="40">
        <f t="shared" si="2"/>
        <v>1.7476775499419e-7</v>
      </c>
      <c r="S34" s="35">
        <f>VLOOKUP($B34,[1]郑商所raw!$B:$Z,15,0)</f>
        <v>0.155</v>
      </c>
      <c r="T34" s="35">
        <f>VLOOKUP($B34,[1]郑商所raw!$B:$Z,16,0)</f>
        <v>0.005</v>
      </c>
      <c r="U34" s="14">
        <f>IFERROR((VLOOKUP($B34,[1]郑商所raw!$B:$Z,17,0)/100),"-")</f>
        <v>30</v>
      </c>
      <c r="V34" s="26">
        <f t="shared" si="3"/>
        <v>1.20519945482778e-7</v>
      </c>
      <c r="W34" s="39">
        <f>VLOOKUP($B34,[1]郑商所raw!$B:$Z,18,0)</f>
        <v>3</v>
      </c>
      <c r="X34" s="26">
        <f t="shared" si="4"/>
        <v>9.7410899467893e-8</v>
      </c>
      <c r="Y34" s="13">
        <f>VLOOKUP($B34,[1]郑商所raw!$B:$Z,19,0)</f>
        <v>2</v>
      </c>
      <c r="Z34" s="43">
        <f>IFERROR((VLOOKUP($B34,[1]郑商所raw!$B:$Z,20,0)/100),"-")</f>
        <v>0.5</v>
      </c>
    </row>
    <row r="35" s="1" customFormat="1" spans="1:26">
      <c r="A35" s="23"/>
      <c r="B35" s="24" t="s">
        <v>58</v>
      </c>
      <c r="C35" s="13">
        <f>VLOOKUP($B35,[1]郑商所raw!$B:$Z,2,0)</f>
        <v>29759732</v>
      </c>
      <c r="D35" s="13">
        <f>VLOOKUP($B35,[1]郑商所raw!$B:$Z,3,0)</f>
        <v>34294440</v>
      </c>
      <c r="E35" s="25">
        <f>IFERROR((VLOOKUP($B35,[1]郑商所raw!$B:$Z,4,0)/100),"-")</f>
        <v>-0.1322</v>
      </c>
      <c r="F35" s="13">
        <f>VLOOKUP($B35,[1]郑商所raw!$B:$Z,5,0)</f>
        <v>18739404</v>
      </c>
      <c r="G35" s="14">
        <f>IFERROR((VLOOKUP($B35,[1]郑商所raw!$B:$Z,6,0)/100),"-")</f>
        <v>0.5881</v>
      </c>
      <c r="H35" s="26">
        <f t="shared" si="0"/>
        <v>0.0448573141179329</v>
      </c>
      <c r="I35" s="35">
        <f>VLOOKUP($B35,[1]郑商所raw!$B:$Z,7,0)</f>
        <v>9138.27</v>
      </c>
      <c r="J35" s="35">
        <f>VLOOKUP($B35,[1]郑商所raw!$B:$Z,8,0)</f>
        <v>8433.82</v>
      </c>
      <c r="K35" s="14">
        <f>IFERROR((VLOOKUP($B35,[1]郑商所raw!$B:$Z,9,0)/100),"-")</f>
        <v>0.0835</v>
      </c>
      <c r="L35" s="35">
        <f>VLOOKUP($B35,[1]郑商所raw!$B:$Z,10,0)</f>
        <v>5247.39</v>
      </c>
      <c r="M35" s="14">
        <f>IFERROR((VLOOKUP($B35,[1]郑商所raw!$B:$Z,11,0)/100),"-")</f>
        <v>0.7415</v>
      </c>
      <c r="N35" s="26">
        <f t="shared" si="1"/>
        <v>0.0160545764450935</v>
      </c>
      <c r="O35" s="13">
        <f>VLOOKUP($B35,[1]郑商所raw!$B:$Z,12,0)</f>
        <v>72822196</v>
      </c>
      <c r="P35" s="13">
        <f>VLOOKUP($B35,[1]郑商所raw!$B:$Z,13,0)</f>
        <v>84159940</v>
      </c>
      <c r="Q35" s="14">
        <f>IFERROR((VLOOKUP($B35,[1]郑商所raw!$B:$Z,14,0)/100),"-")</f>
        <v>-0.1347</v>
      </c>
      <c r="R35" s="40">
        <f t="shared" si="2"/>
        <v>0.0474887004054735</v>
      </c>
      <c r="S35" s="35">
        <f>VLOOKUP($B35,[1]郑商所raw!$B:$Z,15,0)</f>
        <v>20955.85</v>
      </c>
      <c r="T35" s="35">
        <f>VLOOKUP($B35,[1]郑商所raw!$B:$Z,16,0)</f>
        <v>20142.67</v>
      </c>
      <c r="U35" s="14">
        <f>IFERROR((VLOOKUP($B35,[1]郑商所raw!$B:$Z,17,0)/100),"-")</f>
        <v>0.0404</v>
      </c>
      <c r="V35" s="26">
        <f t="shared" si="3"/>
        <v>0.0162941799970662</v>
      </c>
      <c r="W35" s="39">
        <f>VLOOKUP($B35,[1]郑商所raw!$B:$Z,18,0)</f>
        <v>1448609</v>
      </c>
      <c r="X35" s="26">
        <f t="shared" si="4"/>
        <v>0.0470367685557617</v>
      </c>
      <c r="Y35" s="13">
        <f>VLOOKUP($B35,[1]郑商所raw!$B:$Z,19,0)</f>
        <v>1568752</v>
      </c>
      <c r="Z35" s="43">
        <f>IFERROR((VLOOKUP($B35,[1]郑商所raw!$B:$Z,20,0)/100),"-")</f>
        <v>-0.0766</v>
      </c>
    </row>
    <row r="36" s="1" customFormat="1" spans="1:26">
      <c r="A36" s="23"/>
      <c r="B36" s="24" t="s">
        <v>59</v>
      </c>
      <c r="C36" s="13">
        <f>VLOOKUP($B36,[1]郑商所raw!$B:$Z,2,0)</f>
        <v>2790697</v>
      </c>
      <c r="D36" s="13">
        <f>VLOOKUP($B36,[1]郑商所raw!$B:$Z,3,0)</f>
        <v>1891708</v>
      </c>
      <c r="E36" s="25">
        <f>IFERROR((VLOOKUP($B36,[1]郑商所raw!$B:$Z,4,0)/100),"-")</f>
        <v>0.4752</v>
      </c>
      <c r="F36" s="13">
        <f>VLOOKUP($B36,[1]郑商所raw!$B:$Z,5,0)</f>
        <v>1768687</v>
      </c>
      <c r="G36" s="14">
        <f>IFERROR((VLOOKUP($B36,[1]郑商所raw!$B:$Z,6,0)/100),"-")</f>
        <v>0.5778</v>
      </c>
      <c r="H36" s="26">
        <f t="shared" si="0"/>
        <v>0.00420646166897514</v>
      </c>
      <c r="I36" s="35">
        <f>VLOOKUP($B36,[1]郑商所raw!$B:$Z,7,0)</f>
        <v>15.315</v>
      </c>
      <c r="J36" s="35">
        <f>VLOOKUP($B36,[1]郑商所raw!$B:$Z,8,0)</f>
        <v>7.97</v>
      </c>
      <c r="K36" s="14">
        <f>IFERROR((VLOOKUP($B36,[1]郑商所raw!$B:$Z,9,0)/100),"-")</f>
        <v>0.9221</v>
      </c>
      <c r="L36" s="35">
        <f>VLOOKUP($B36,[1]郑商所raw!$B:$Z,10,0)</f>
        <v>8.22</v>
      </c>
      <c r="M36" s="14">
        <f>IFERROR((VLOOKUP($B36,[1]郑商所raw!$B:$Z,11,0)/100),"-")</f>
        <v>0.8632</v>
      </c>
      <c r="N36" s="26">
        <f t="shared" si="1"/>
        <v>2.6906169138864e-5</v>
      </c>
      <c r="O36" s="13">
        <f>VLOOKUP($B36,[1]郑商所raw!$B:$Z,12,0)</f>
        <v>7011108</v>
      </c>
      <c r="P36" s="13">
        <f>VLOOKUP($B36,[1]郑商所raw!$B:$Z,13,0)</f>
        <v>4086275</v>
      </c>
      <c r="Q36" s="14">
        <f>IFERROR((VLOOKUP($B36,[1]郑商所raw!$B:$Z,14,0)/100),"-")</f>
        <v>0.7158</v>
      </c>
      <c r="R36" s="40">
        <f t="shared" si="2"/>
        <v>0.00457207315366346</v>
      </c>
      <c r="S36" s="35">
        <f>VLOOKUP($B36,[1]郑商所raw!$B:$Z,15,0)</f>
        <v>34.14</v>
      </c>
      <c r="T36" s="35">
        <f>VLOOKUP($B36,[1]郑商所raw!$B:$Z,16,0)</f>
        <v>18.49</v>
      </c>
      <c r="U36" s="14">
        <f>IFERROR((VLOOKUP($B36,[1]郑商所raw!$B:$Z,17,0)/100),"-")</f>
        <v>0.8464</v>
      </c>
      <c r="V36" s="26">
        <f t="shared" si="3"/>
        <v>2.6545489927626e-5</v>
      </c>
      <c r="W36" s="39">
        <f>VLOOKUP($B36,[1]郑商所raw!$B:$Z,18,0)</f>
        <v>175092</v>
      </c>
      <c r="X36" s="26">
        <f t="shared" si="4"/>
        <v>0.0056852897365441</v>
      </c>
      <c r="Y36" s="13">
        <f>VLOOKUP($B36,[1]郑商所raw!$B:$Z,19,0)</f>
        <v>134810</v>
      </c>
      <c r="Z36" s="43">
        <f>IFERROR((VLOOKUP($B36,[1]郑商所raw!$B:$Z,20,0)/100),"-")</f>
        <v>0.2988</v>
      </c>
    </row>
    <row r="37" s="1" customFormat="1" spans="1:26">
      <c r="A37" s="23"/>
      <c r="B37" s="24" t="s">
        <v>60</v>
      </c>
      <c r="C37" s="13">
        <f>VLOOKUP($B37,[1]郑商所raw!$B:$Z,2,0)</f>
        <v>7627914</v>
      </c>
      <c r="D37" s="13">
        <f>VLOOKUP($B37,[1]郑商所raw!$B:$Z,3,0)</f>
        <v>9986136</v>
      </c>
      <c r="E37" s="25">
        <f>IFERROR((VLOOKUP($B37,[1]郑商所raw!$B:$Z,4,0)/100),"-")</f>
        <v>-0.2361</v>
      </c>
      <c r="F37" s="13">
        <f>VLOOKUP($B37,[1]郑商所raw!$B:$Z,5,0)</f>
        <v>6612796</v>
      </c>
      <c r="G37" s="14">
        <f>IFERROR((VLOOKUP($B37,[1]郑商所raw!$B:$Z,6,0)/100),"-")</f>
        <v>0.1535</v>
      </c>
      <c r="H37" s="26">
        <f t="shared" si="0"/>
        <v>0.0114976752600654</v>
      </c>
      <c r="I37" s="35">
        <f>VLOOKUP($B37,[1]郑商所raw!$B:$Z,7,0)</f>
        <v>9780.415</v>
      </c>
      <c r="J37" s="35">
        <f>VLOOKUP($B37,[1]郑商所raw!$B:$Z,8,0)</f>
        <v>10530.68</v>
      </c>
      <c r="K37" s="14">
        <f>IFERROR((VLOOKUP($B37,[1]郑商所raw!$B:$Z,9,0)/100),"-")</f>
        <v>-0.0712</v>
      </c>
      <c r="L37" s="35">
        <f>VLOOKUP($B37,[1]郑商所raw!$B:$Z,10,0)</f>
        <v>8153.545</v>
      </c>
      <c r="M37" s="14">
        <f>IFERROR((VLOOKUP($B37,[1]郑商所raw!$B:$Z,11,0)/100),"-")</f>
        <v>0.1995</v>
      </c>
      <c r="N37" s="26">
        <f t="shared" si="1"/>
        <v>0.017182729365869</v>
      </c>
      <c r="O37" s="13">
        <f>VLOOKUP($B37,[1]郑商所raw!$B:$Z,12,0)</f>
        <v>21937028</v>
      </c>
      <c r="P37" s="13">
        <f>VLOOKUP($B37,[1]郑商所raw!$B:$Z,13,0)</f>
        <v>21829231</v>
      </c>
      <c r="Q37" s="14">
        <f>IFERROR((VLOOKUP($B37,[1]郑商所raw!$B:$Z,14,0)/100),"-")</f>
        <v>0.0049</v>
      </c>
      <c r="R37" s="40">
        <f t="shared" si="2"/>
        <v>0.0143055415477787</v>
      </c>
      <c r="S37" s="35">
        <f>VLOOKUP($B37,[1]郑商所raw!$B:$Z,15,0)</f>
        <v>27175.975</v>
      </c>
      <c r="T37" s="35">
        <f>VLOOKUP($B37,[1]郑商所raw!$B:$Z,16,0)</f>
        <v>22304.99</v>
      </c>
      <c r="U37" s="14">
        <f>IFERROR((VLOOKUP($B37,[1]郑商所raw!$B:$Z,17,0)/100),"-")</f>
        <v>0.2184</v>
      </c>
      <c r="V37" s="26">
        <f t="shared" si="3"/>
        <v>0.0211306259705892</v>
      </c>
      <c r="W37" s="39">
        <f>VLOOKUP($B37,[1]郑商所raw!$B:$Z,18,0)</f>
        <v>229799</v>
      </c>
      <c r="X37" s="26">
        <f t="shared" si="4"/>
        <v>0.00746164242894078</v>
      </c>
      <c r="Y37" s="13">
        <f>VLOOKUP($B37,[1]郑商所raw!$B:$Z,19,0)</f>
        <v>212911</v>
      </c>
      <c r="Z37" s="43">
        <f>IFERROR((VLOOKUP($B37,[1]郑商所raw!$B:$Z,20,0)/100),"-")</f>
        <v>0.0793</v>
      </c>
    </row>
    <row r="38" s="1" customFormat="1" spans="1:26">
      <c r="A38" s="23"/>
      <c r="B38" s="24" t="s">
        <v>61</v>
      </c>
      <c r="C38" s="13">
        <f>VLOOKUP($B38,[1]郑商所raw!$B:$Z,2,0)</f>
        <v>481</v>
      </c>
      <c r="D38" s="13">
        <f>VLOOKUP($B38,[1]郑商所raw!$B:$Z,3,0)</f>
        <v>818</v>
      </c>
      <c r="E38" s="25">
        <f>IFERROR((VLOOKUP($B38,[1]郑商所raw!$B:$Z,4,0)/100),"-")</f>
        <v>-0.412</v>
      </c>
      <c r="F38" s="13">
        <f>VLOOKUP($B38,[1]郑商所raw!$B:$Z,5,0)</f>
        <v>113</v>
      </c>
      <c r="G38" s="14">
        <f>IFERROR((VLOOKUP($B38,[1]郑商所raw!$B:$Z,6,0)/100),"-")</f>
        <v>3.2566</v>
      </c>
      <c r="H38" s="26">
        <f t="shared" si="0"/>
        <v>7.25018897708008e-7</v>
      </c>
      <c r="I38" s="35">
        <f>VLOOKUP($B38,[1]郑商所raw!$B:$Z,7,0)</f>
        <v>0.305</v>
      </c>
      <c r="J38" s="35">
        <f>VLOOKUP($B38,[1]郑商所raw!$B:$Z,8,0)</f>
        <v>0.5</v>
      </c>
      <c r="K38" s="14">
        <f>IFERROR((VLOOKUP($B38,[1]郑商所raw!$B:$Z,9,0)/100),"-")</f>
        <v>-0.3897</v>
      </c>
      <c r="L38" s="35">
        <f>VLOOKUP($B38,[1]郑商所raw!$B:$Z,10,0)</f>
        <v>0.07</v>
      </c>
      <c r="M38" s="14">
        <f>IFERROR((VLOOKUP($B38,[1]郑商所raw!$B:$Z,11,0)/100),"-")</f>
        <v>3.4779</v>
      </c>
      <c r="N38" s="26">
        <f t="shared" si="1"/>
        <v>5.35839476810547e-7</v>
      </c>
      <c r="O38" s="13">
        <f>VLOOKUP($B38,[1]郑商所raw!$B:$Z,12,0)</f>
        <v>631</v>
      </c>
      <c r="P38" s="13">
        <f>VLOOKUP($B38,[1]郑商所raw!$B:$Z,13,0)</f>
        <v>2835</v>
      </c>
      <c r="Q38" s="14">
        <f>IFERROR((VLOOKUP($B38,[1]郑商所raw!$B:$Z,14,0)/100),"-")</f>
        <v>-0.7774</v>
      </c>
      <c r="R38" s="40">
        <f t="shared" si="2"/>
        <v>4.11486766422888e-7</v>
      </c>
      <c r="S38" s="35">
        <f>VLOOKUP($B38,[1]郑商所raw!$B:$Z,15,0)</f>
        <v>0.395</v>
      </c>
      <c r="T38" s="35">
        <f>VLOOKUP($B38,[1]郑商所raw!$B:$Z,16,0)</f>
        <v>1.725</v>
      </c>
      <c r="U38" s="14">
        <f>IFERROR((VLOOKUP($B38,[1]郑商所raw!$B:$Z,17,0)/100),"-")</f>
        <v>-0.771</v>
      </c>
      <c r="V38" s="26">
        <f t="shared" si="3"/>
        <v>3.0713147397224e-7</v>
      </c>
      <c r="W38" s="39">
        <f>VLOOKUP($B38,[1]郑商所raw!$B:$Z,18,0)</f>
        <v>24</v>
      </c>
      <c r="X38" s="26">
        <f t="shared" si="4"/>
        <v>7.79287195743144e-7</v>
      </c>
      <c r="Y38" s="13">
        <f>VLOOKUP($B38,[1]郑商所raw!$B:$Z,19,0)</f>
        <v>13</v>
      </c>
      <c r="Z38" s="43">
        <f>IFERROR((VLOOKUP($B38,[1]郑商所raw!$B:$Z,20,0)/100),"-")</f>
        <v>0.8462</v>
      </c>
    </row>
    <row r="39" s="1" customFormat="1" spans="1:26">
      <c r="A39" s="23"/>
      <c r="B39" s="24" t="s">
        <v>62</v>
      </c>
      <c r="C39" s="13">
        <f>VLOOKUP($B39,[1]郑商所raw!$B:$Z,2,0)</f>
        <v>16206321</v>
      </c>
      <c r="D39" s="13">
        <f>VLOOKUP($B39,[1]郑商所raw!$B:$Z,3,0)</f>
        <v>29602227</v>
      </c>
      <c r="E39" s="25">
        <f>IFERROR((VLOOKUP($B39,[1]郑商所raw!$B:$Z,4,0)/100),"-")</f>
        <v>-0.4525</v>
      </c>
      <c r="F39" s="13">
        <f>VLOOKUP($B39,[1]郑商所raw!$B:$Z,5,0)</f>
        <v>15435549</v>
      </c>
      <c r="G39" s="14">
        <f>IFERROR((VLOOKUP($B39,[1]郑商所raw!$B:$Z,6,0)/100),"-")</f>
        <v>0.0499</v>
      </c>
      <c r="H39" s="26">
        <f t="shared" si="0"/>
        <v>0.0244280436326864</v>
      </c>
      <c r="I39" s="35">
        <f>VLOOKUP($B39,[1]郑商所raw!$B:$Z,7,0)</f>
        <v>6104.77</v>
      </c>
      <c r="J39" s="35">
        <f>VLOOKUP($B39,[1]郑商所raw!$B:$Z,8,0)</f>
        <v>8391.24</v>
      </c>
      <c r="K39" s="14">
        <f>IFERROR((VLOOKUP($B39,[1]郑商所raw!$B:$Z,9,0)/100),"-")</f>
        <v>-0.2725</v>
      </c>
      <c r="L39" s="35">
        <f>VLOOKUP($B39,[1]郑商所raw!$B:$Z,10,0)</f>
        <v>5336.35</v>
      </c>
      <c r="M39" s="14">
        <f>IFERROR((VLOOKUP($B39,[1]郑商所raw!$B:$Z,11,0)/100),"-")</f>
        <v>0.144</v>
      </c>
      <c r="N39" s="26">
        <f t="shared" si="1"/>
        <v>0.0107251697142581</v>
      </c>
      <c r="O39" s="13">
        <f>VLOOKUP($B39,[1]郑商所raw!$B:$Z,12,0)</f>
        <v>44443547</v>
      </c>
      <c r="P39" s="13">
        <f>VLOOKUP($B39,[1]郑商所raw!$B:$Z,13,0)</f>
        <v>68072317</v>
      </c>
      <c r="Q39" s="14">
        <f>IFERROR((VLOOKUP($B39,[1]郑商所raw!$B:$Z,14,0)/100),"-")</f>
        <v>-0.3471</v>
      </c>
      <c r="R39" s="40">
        <f t="shared" si="2"/>
        <v>0.0289824587058537</v>
      </c>
      <c r="S39" s="35">
        <f>VLOOKUP($B39,[1]郑商所raw!$B:$Z,15,0)</f>
        <v>15228.645</v>
      </c>
      <c r="T39" s="35">
        <f>VLOOKUP($B39,[1]郑商所raw!$B:$Z,16,0)</f>
        <v>19683.565</v>
      </c>
      <c r="U39" s="14">
        <f>IFERROR((VLOOKUP($B39,[1]郑商所raw!$B:$Z,17,0)/100),"-")</f>
        <v>-0.2263</v>
      </c>
      <c r="V39" s="26">
        <f t="shared" si="3"/>
        <v>0.0118410030011392</v>
      </c>
      <c r="W39" s="39">
        <f>VLOOKUP($B39,[1]郑商所raw!$B:$Z,18,0)</f>
        <v>712077</v>
      </c>
      <c r="X39" s="26">
        <f t="shared" si="4"/>
        <v>0.0231213536867996</v>
      </c>
      <c r="Y39" s="13">
        <f>VLOOKUP($B39,[1]郑商所raw!$B:$Z,19,0)</f>
        <v>782311</v>
      </c>
      <c r="Z39" s="43">
        <f>IFERROR((VLOOKUP($B39,[1]郑商所raw!$B:$Z,20,0)/100),"-")</f>
        <v>-0.0898</v>
      </c>
    </row>
    <row r="40" s="1" customFormat="1" spans="1:26">
      <c r="A40" s="23"/>
      <c r="B40" s="24" t="s">
        <v>63</v>
      </c>
      <c r="C40" s="13">
        <f>VLOOKUP($B40,[1]郑商所raw!$B:$Z,2,0)</f>
        <v>960450</v>
      </c>
      <c r="D40" s="13">
        <f>VLOOKUP($B40,[1]郑商所raw!$B:$Z,3,0)</f>
        <v>756553</v>
      </c>
      <c r="E40" s="25">
        <f>IFERROR((VLOOKUP($B40,[1]郑商所raw!$B:$Z,4,0)/100),"-")</f>
        <v>0.2695</v>
      </c>
      <c r="F40" s="13">
        <f>VLOOKUP($B40,[1]郑商所raw!$B:$Z,5,0)</f>
        <v>676792</v>
      </c>
      <c r="G40" s="14">
        <f>IFERROR((VLOOKUP($B40,[1]郑商所raw!$B:$Z,6,0)/100),"-")</f>
        <v>0.4191</v>
      </c>
      <c r="H40" s="26">
        <f t="shared" si="0"/>
        <v>0.00144770145593276</v>
      </c>
      <c r="I40" s="35">
        <f>VLOOKUP($B40,[1]郑商所raw!$B:$Z,7,0)</f>
        <v>8.645</v>
      </c>
      <c r="J40" s="35">
        <f>VLOOKUP($B40,[1]郑商所raw!$B:$Z,8,0)</f>
        <v>2.695</v>
      </c>
      <c r="K40" s="14">
        <f>IFERROR((VLOOKUP($B40,[1]郑商所raw!$B:$Z,9,0)/100),"-")</f>
        <v>2.2079</v>
      </c>
      <c r="L40" s="35">
        <f>VLOOKUP($B40,[1]郑商所raw!$B:$Z,10,0)</f>
        <v>6.36</v>
      </c>
      <c r="M40" s="14">
        <f>IFERROR((VLOOKUP($B40,[1]郑商所raw!$B:$Z,11,0)/100),"-")</f>
        <v>0.3589</v>
      </c>
      <c r="N40" s="26">
        <f t="shared" si="1"/>
        <v>1.51879746787776e-5</v>
      </c>
      <c r="O40" s="13">
        <f>VLOOKUP($B40,[1]郑商所raw!$B:$Z,12,0)</f>
        <v>2157195</v>
      </c>
      <c r="P40" s="13">
        <f>VLOOKUP($B40,[1]郑商所raw!$B:$Z,13,0)</f>
        <v>1654223</v>
      </c>
      <c r="Q40" s="14">
        <f>IFERROR((VLOOKUP($B40,[1]郑商所raw!$B:$Z,14,0)/100),"-")</f>
        <v>0.3041</v>
      </c>
      <c r="R40" s="40">
        <f t="shared" si="2"/>
        <v>0.00140674674341303</v>
      </c>
      <c r="S40" s="35">
        <f>VLOOKUP($B40,[1]郑商所raw!$B:$Z,15,0)</f>
        <v>17.795</v>
      </c>
      <c r="T40" s="35">
        <f>VLOOKUP($B40,[1]郑商所raw!$B:$Z,16,0)</f>
        <v>7.72</v>
      </c>
      <c r="U40" s="14">
        <f>IFERROR((VLOOKUP($B40,[1]郑商所raw!$B:$Z,17,0)/100),"-")</f>
        <v>1.3051</v>
      </c>
      <c r="V40" s="26">
        <f t="shared" si="3"/>
        <v>1.38364672894583e-5</v>
      </c>
      <c r="W40" s="39">
        <f>VLOOKUP($B40,[1]郑商所raw!$B:$Z,18,0)</f>
        <v>121613</v>
      </c>
      <c r="X40" s="26">
        <f t="shared" si="4"/>
        <v>0.00394881057232962</v>
      </c>
      <c r="Y40" s="13">
        <f>VLOOKUP($B40,[1]郑商所raw!$B:$Z,19,0)</f>
        <v>101473</v>
      </c>
      <c r="Z40" s="43">
        <f>IFERROR((VLOOKUP($B40,[1]郑商所raw!$B:$Z,20,0)/100),"-")</f>
        <v>0.1985</v>
      </c>
    </row>
    <row r="41" s="1" customFormat="1" spans="1:26">
      <c r="A41" s="23"/>
      <c r="B41" s="24" t="s">
        <v>64</v>
      </c>
      <c r="C41" s="13">
        <f>VLOOKUP($B41,[1]郑商所raw!$B:$Z,2,0)</f>
        <v>10374867</v>
      </c>
      <c r="D41" s="13">
        <f>VLOOKUP($B41,[1]郑商所raw!$B:$Z,3,0)</f>
        <v>11655293</v>
      </c>
      <c r="E41" s="25">
        <f>IFERROR((VLOOKUP($B41,[1]郑商所raw!$B:$Z,4,0)/100),"-")</f>
        <v>-0.1099</v>
      </c>
      <c r="F41" s="13">
        <f>VLOOKUP($B41,[1]郑商所raw!$B:$Z,5,0)</f>
        <v>6696471</v>
      </c>
      <c r="G41" s="14">
        <f>IFERROR((VLOOKUP($B41,[1]郑商所raw!$B:$Z,6,0)/100),"-")</f>
        <v>0.5493</v>
      </c>
      <c r="H41" s="26">
        <f t="shared" si="0"/>
        <v>0.0156382009068756</v>
      </c>
      <c r="I41" s="35">
        <f>VLOOKUP($B41,[1]郑商所raw!$B:$Z,7,0)</f>
        <v>6055.19</v>
      </c>
      <c r="J41" s="35">
        <f>VLOOKUP($B41,[1]郑商所raw!$B:$Z,8,0)</f>
        <v>6304.485</v>
      </c>
      <c r="K41" s="14">
        <f>IFERROR((VLOOKUP($B41,[1]郑商所raw!$B:$Z,9,0)/100),"-")</f>
        <v>-0.0395</v>
      </c>
      <c r="L41" s="35">
        <f>VLOOKUP($B41,[1]郑商所raw!$B:$Z,10,0)</f>
        <v>3838.125</v>
      </c>
      <c r="M41" s="14">
        <f>IFERROR((VLOOKUP($B41,[1]郑商所raw!$B:$Z,11,0)/100),"-")</f>
        <v>0.5776</v>
      </c>
      <c r="N41" s="26">
        <f t="shared" si="1"/>
        <v>0.0106380650543884</v>
      </c>
      <c r="O41" s="13">
        <f>VLOOKUP($B41,[1]郑商所raw!$B:$Z,12,0)</f>
        <v>24842191</v>
      </c>
      <c r="P41" s="13">
        <f>VLOOKUP($B41,[1]郑商所raw!$B:$Z,13,0)</f>
        <v>30694427</v>
      </c>
      <c r="Q41" s="14">
        <f>IFERROR((VLOOKUP($B41,[1]郑商所raw!$B:$Z,14,0)/100),"-")</f>
        <v>-0.1907</v>
      </c>
      <c r="R41" s="40">
        <f t="shared" si="2"/>
        <v>0.0162000520530107</v>
      </c>
      <c r="S41" s="35">
        <f>VLOOKUP($B41,[1]郑商所raw!$B:$Z,15,0)</f>
        <v>14378.005</v>
      </c>
      <c r="T41" s="35">
        <f>VLOOKUP($B41,[1]郑商所raw!$B:$Z,16,0)</f>
        <v>16471.655</v>
      </c>
      <c r="U41" s="14">
        <f>IFERROR((VLOOKUP($B41,[1]郑商所raw!$B:$Z,17,0)/100),"-")</f>
        <v>-0.1271</v>
      </c>
      <c r="V41" s="26">
        <f t="shared" si="3"/>
        <v>0.0111795895403297</v>
      </c>
      <c r="W41" s="39">
        <f>VLOOKUP($B41,[1]郑商所raw!$B:$Z,18,0)</f>
        <v>604642</v>
      </c>
      <c r="X41" s="26">
        <f t="shared" si="4"/>
        <v>0.0196329070253552</v>
      </c>
      <c r="Y41" s="13">
        <f>VLOOKUP($B41,[1]郑商所raw!$B:$Z,19,0)</f>
        <v>644621</v>
      </c>
      <c r="Z41" s="43">
        <f>IFERROR((VLOOKUP($B41,[1]郑商所raw!$B:$Z,20,0)/100),"-")</f>
        <v>-0.062</v>
      </c>
    </row>
    <row r="42" s="1" customFormat="1" spans="1:26">
      <c r="A42" s="23"/>
      <c r="B42" s="24" t="s">
        <v>65</v>
      </c>
      <c r="C42" s="13">
        <f>VLOOKUP($B42,[1]郑商所raw!$B:$Z,2,0)</f>
        <v>2250761</v>
      </c>
      <c r="D42" s="13">
        <f>VLOOKUP($B42,[1]郑商所raw!$B:$Z,3,0)</f>
        <v>1029311</v>
      </c>
      <c r="E42" s="25">
        <f>IFERROR((VLOOKUP($B42,[1]郑商所raw!$B:$Z,4,0)/100),"-")</f>
        <v>1.1867</v>
      </c>
      <c r="F42" s="13">
        <f>VLOOKUP($B42,[1]郑商所raw!$B:$Z,5,0)</f>
        <v>1275305</v>
      </c>
      <c r="G42" s="14">
        <f>IFERROR((VLOOKUP($B42,[1]郑商所raw!$B:$Z,6,0)/100),"-")</f>
        <v>0.7649</v>
      </c>
      <c r="H42" s="26">
        <f t="shared" si="0"/>
        <v>0.00339260760753466</v>
      </c>
      <c r="I42" s="35">
        <f>VLOOKUP($B42,[1]郑商所raw!$B:$Z,7,0)</f>
        <v>11.47</v>
      </c>
      <c r="J42" s="35">
        <f>VLOOKUP($B42,[1]郑商所raw!$B:$Z,8,0)</f>
        <v>5.84</v>
      </c>
      <c r="K42" s="14">
        <f>IFERROR((VLOOKUP($B42,[1]郑商所raw!$B:$Z,9,0)/100),"-")</f>
        <v>0.964</v>
      </c>
      <c r="L42" s="35">
        <f>VLOOKUP($B42,[1]郑商所raw!$B:$Z,10,0)</f>
        <v>6.585</v>
      </c>
      <c r="M42" s="14">
        <f>IFERROR((VLOOKUP($B42,[1]郑商所raw!$B:$Z,11,0)/100),"-")</f>
        <v>0.7411</v>
      </c>
      <c r="N42" s="26">
        <f t="shared" si="1"/>
        <v>2.01510780295639e-5</v>
      </c>
      <c r="O42" s="13">
        <f>VLOOKUP($B42,[1]郑商所raw!$B:$Z,12,0)</f>
        <v>4732135</v>
      </c>
      <c r="P42" s="13">
        <f>VLOOKUP($B42,[1]郑商所raw!$B:$Z,13,0)</f>
        <v>2377978</v>
      </c>
      <c r="Q42" s="14">
        <f>IFERROR((VLOOKUP($B42,[1]郑商所raw!$B:$Z,14,0)/100),"-")</f>
        <v>0.99</v>
      </c>
      <c r="R42" s="40">
        <f t="shared" si="2"/>
        <v>0.00308591272492326</v>
      </c>
      <c r="S42" s="35">
        <f>VLOOKUP($B42,[1]郑商所raw!$B:$Z,15,0)</f>
        <v>24.54</v>
      </c>
      <c r="T42" s="35">
        <f>VLOOKUP($B42,[1]郑商所raw!$B:$Z,16,0)</f>
        <v>17.1</v>
      </c>
      <c r="U42" s="14">
        <f>IFERROR((VLOOKUP($B42,[1]郑商所raw!$B:$Z,17,0)/100),"-")</f>
        <v>0.4351</v>
      </c>
      <c r="V42" s="26">
        <f t="shared" si="3"/>
        <v>1.90810287880475e-5</v>
      </c>
      <c r="W42" s="39">
        <f>VLOOKUP($B42,[1]郑商所raw!$B:$Z,18,0)</f>
        <v>280359</v>
      </c>
      <c r="X42" s="26">
        <f t="shared" si="4"/>
        <v>0.009103340787973</v>
      </c>
      <c r="Y42" s="13">
        <f>VLOOKUP($B42,[1]郑商所raw!$B:$Z,19,0)</f>
        <v>250131</v>
      </c>
      <c r="Z42" s="43">
        <f>IFERROR((VLOOKUP($B42,[1]郑商所raw!$B:$Z,20,0)/100),"-")</f>
        <v>0.1208</v>
      </c>
    </row>
    <row r="43" s="1" customFormat="1" spans="1:26">
      <c r="A43" s="23"/>
      <c r="B43" s="24" t="s">
        <v>66</v>
      </c>
      <c r="C43" s="13">
        <f>VLOOKUP($B43,[1]郑商所raw!$B:$Z,2,0)</f>
        <v>50705534</v>
      </c>
      <c r="D43" s="13">
        <f>VLOOKUP($B43,[1]郑商所raw!$B:$Z,3,0)</f>
        <v>57865644</v>
      </c>
      <c r="E43" s="25">
        <f>IFERROR((VLOOKUP($B43,[1]郑商所raw!$B:$Z,4,0)/100),"-")</f>
        <v>-0.1237</v>
      </c>
      <c r="F43" s="13">
        <f>VLOOKUP($B43,[1]郑商所raw!$B:$Z,5,0)</f>
        <v>28719295</v>
      </c>
      <c r="G43" s="14">
        <f>IFERROR((VLOOKUP($B43,[1]郑商所raw!$B:$Z,6,0)/100),"-")</f>
        <v>0.7656</v>
      </c>
      <c r="H43" s="26">
        <f t="shared" si="0"/>
        <v>0.0764292523251058</v>
      </c>
      <c r="I43" s="35">
        <f>VLOOKUP($B43,[1]郑商所raw!$B:$Z,7,0)</f>
        <v>15333.76</v>
      </c>
      <c r="J43" s="35">
        <f>VLOOKUP($B43,[1]郑商所raw!$B:$Z,8,0)</f>
        <v>13208.46</v>
      </c>
      <c r="K43" s="14">
        <f>IFERROR((VLOOKUP($B43,[1]郑商所raw!$B:$Z,9,0)/100),"-")</f>
        <v>0.1609</v>
      </c>
      <c r="L43" s="35">
        <f>VLOOKUP($B43,[1]郑商所raw!$B:$Z,10,0)</f>
        <v>8058.945</v>
      </c>
      <c r="M43" s="14">
        <f>IFERROR((VLOOKUP($B43,[1]郑商所raw!$B:$Z,11,0)/100),"-")</f>
        <v>0.9027</v>
      </c>
      <c r="N43" s="26">
        <f t="shared" si="1"/>
        <v>0.0269391276588148</v>
      </c>
      <c r="O43" s="13">
        <f>VLOOKUP($B43,[1]郑商所raw!$B:$Z,12,0)</f>
        <v>112605184</v>
      </c>
      <c r="P43" s="13">
        <f>VLOOKUP($B43,[1]郑商所raw!$B:$Z,13,0)</f>
        <v>138612198</v>
      </c>
      <c r="Q43" s="14">
        <f>IFERROR((VLOOKUP($B43,[1]郑商所raw!$B:$Z,14,0)/100),"-")</f>
        <v>-0.1876</v>
      </c>
      <c r="R43" s="40">
        <f t="shared" si="2"/>
        <v>0.0734319224193571</v>
      </c>
      <c r="S43" s="35">
        <f>VLOOKUP($B43,[1]郑商所raw!$B:$Z,15,0)</f>
        <v>32150.02</v>
      </c>
      <c r="T43" s="35">
        <f>VLOOKUP($B43,[1]郑商所raw!$B:$Z,16,0)</f>
        <v>30134.785</v>
      </c>
      <c r="U43" s="14">
        <f>IFERROR((VLOOKUP($B43,[1]郑商所raw!$B:$Z,17,0)/100),"-")</f>
        <v>0.0669</v>
      </c>
      <c r="V43" s="26">
        <f t="shared" si="3"/>
        <v>0.0249981848881949</v>
      </c>
      <c r="W43" s="39">
        <f>VLOOKUP($B43,[1]郑商所raw!$B:$Z,18,0)</f>
        <v>1903466</v>
      </c>
      <c r="X43" s="26">
        <f t="shared" si="4"/>
        <v>0.0618061117221841</v>
      </c>
      <c r="Y43" s="13">
        <f>VLOOKUP($B43,[1]郑商所raw!$B:$Z,19,0)</f>
        <v>1977564</v>
      </c>
      <c r="Z43" s="43">
        <f>IFERROR((VLOOKUP($B43,[1]郑商所raw!$B:$Z,20,0)/100),"-")</f>
        <v>-0.0375</v>
      </c>
    </row>
    <row r="44" s="1" customFormat="1" spans="1:26">
      <c r="A44" s="23"/>
      <c r="B44" s="27" t="s">
        <v>67</v>
      </c>
      <c r="C44" s="13">
        <f>VLOOKUP($B44,[1]郑商所raw!$B:$Z,2,0)</f>
        <v>3394850</v>
      </c>
      <c r="D44" s="13">
        <f>VLOOKUP($B44,[1]郑商所raw!$B:$Z,3,0)</f>
        <v>2543779</v>
      </c>
      <c r="E44" s="25">
        <f>IFERROR((VLOOKUP($B44,[1]郑商所raw!$B:$Z,4,0)/100),"-")</f>
        <v>0.3346</v>
      </c>
      <c r="F44" s="13">
        <f>VLOOKUP($B44,[1]郑商所raw!$B:$Z,5,0)</f>
        <v>2694918</v>
      </c>
      <c r="G44" s="14">
        <f>IFERROR((VLOOKUP($B44,[1]郑商所raw!$B:$Z,6,0)/100),"-")</f>
        <v>0.2597</v>
      </c>
      <c r="H44" s="26">
        <f t="shared" si="0"/>
        <v>0.00511711102886493</v>
      </c>
      <c r="I44" s="35">
        <f>VLOOKUP($B44,[1]郑商所raw!$B:$Z,7,0)</f>
        <v>20.275</v>
      </c>
      <c r="J44" s="35">
        <f>VLOOKUP($B44,[1]郑商所raw!$B:$Z,8,0)</f>
        <v>10.6</v>
      </c>
      <c r="K44" s="14">
        <f>IFERROR((VLOOKUP($B44,[1]郑商所raw!$B:$Z,9,0)/100),"-")</f>
        <v>0.9127</v>
      </c>
      <c r="L44" s="35">
        <f>VLOOKUP($B44,[1]郑商所raw!$B:$Z,10,0)</f>
        <v>12.635</v>
      </c>
      <c r="M44" s="14">
        <f>IFERROR((VLOOKUP($B44,[1]郑商所raw!$B:$Z,11,0)/100),"-")</f>
        <v>0.6046</v>
      </c>
      <c r="N44" s="26">
        <f t="shared" si="1"/>
        <v>3.56201488273241e-5</v>
      </c>
      <c r="O44" s="13">
        <f>VLOOKUP($B44,[1]郑商所raw!$B:$Z,12,0)</f>
        <v>9014357</v>
      </c>
      <c r="P44" s="13">
        <f>VLOOKUP($B44,[1]郑商所raw!$B:$Z,13,0)</f>
        <v>5922638</v>
      </c>
      <c r="Q44" s="14">
        <f>IFERROR((VLOOKUP($B44,[1]郑商所raw!$B:$Z,14,0)/100),"-")</f>
        <v>0.522</v>
      </c>
      <c r="R44" s="40">
        <f t="shared" si="2"/>
        <v>0.0058784288642021</v>
      </c>
      <c r="S44" s="35">
        <f>VLOOKUP($B44,[1]郑商所raw!$B:$Z,15,0)</f>
        <v>44.12</v>
      </c>
      <c r="T44" s="35">
        <f>VLOOKUP($B44,[1]郑商所raw!$B:$Z,16,0)</f>
        <v>30.22</v>
      </c>
      <c r="U44" s="14">
        <f>IFERROR((VLOOKUP($B44,[1]郑商所raw!$B:$Z,17,0)/100),"-")</f>
        <v>0.46</v>
      </c>
      <c r="V44" s="26">
        <f t="shared" si="3"/>
        <v>3.43054193206462e-5</v>
      </c>
      <c r="W44" s="39">
        <f>VLOOKUP($B44,[1]郑商所raw!$B:$Z,18,0)</f>
        <v>208631</v>
      </c>
      <c r="X44" s="26">
        <f t="shared" si="4"/>
        <v>0.00677431112229533</v>
      </c>
      <c r="Y44" s="13">
        <f>VLOOKUP($B44,[1]郑商所raw!$B:$Z,19,0)</f>
        <v>202856</v>
      </c>
      <c r="Z44" s="43">
        <f>IFERROR((VLOOKUP($B44,[1]郑商所raw!$B:$Z,20,0)/100),"-")</f>
        <v>0.0285</v>
      </c>
    </row>
    <row r="45" s="1" customFormat="1" spans="1:26">
      <c r="A45" s="23"/>
      <c r="B45" s="28" t="s">
        <v>68</v>
      </c>
      <c r="C45" s="13">
        <f>VLOOKUP($B45,[1]郑商所raw!$B:$Z,2,0)</f>
        <v>0</v>
      </c>
      <c r="D45" s="13">
        <f>VLOOKUP($B45,[1]郑商所raw!$B:$Z,3,0)</f>
        <v>3</v>
      </c>
      <c r="E45" s="25">
        <f>IFERROR((VLOOKUP($B45,[1]郑商所raw!$B:$Z,4,0)/100),"-")</f>
        <v>-1</v>
      </c>
      <c r="F45" s="13">
        <f>VLOOKUP($B45,[1]郑商所raw!$B:$Z,5,0)</f>
        <v>0</v>
      </c>
      <c r="G45" s="14">
        <f>IFERROR((VLOOKUP($B45,[1]郑商所raw!$B:$Z,6,0)/100),"-")</f>
        <v>0</v>
      </c>
      <c r="H45" s="26">
        <f t="shared" si="0"/>
        <v>0</v>
      </c>
      <c r="I45" s="35">
        <f>VLOOKUP($B45,[1]郑商所raw!$B:$Z,7,0)</f>
        <v>0</v>
      </c>
      <c r="J45" s="35">
        <f>VLOOKUP($B45,[1]郑商所raw!$B:$Z,8,0)</f>
        <v>0.005</v>
      </c>
      <c r="K45" s="14">
        <f>IFERROR((VLOOKUP($B45,[1]郑商所raw!$B:$Z,9,0)/100),"-")</f>
        <v>-1</v>
      </c>
      <c r="L45" s="35">
        <f>VLOOKUP($B45,[1]郑商所raw!$B:$Z,10,0)</f>
        <v>0</v>
      </c>
      <c r="M45" s="14">
        <f>IFERROR((VLOOKUP($B45,[1]郑商所raw!$B:$Z,11,0)/100),"-")</f>
        <v>0</v>
      </c>
      <c r="N45" s="26">
        <f t="shared" si="1"/>
        <v>0</v>
      </c>
      <c r="O45" s="13">
        <f>VLOOKUP($B45,[1]郑商所raw!$B:$Z,12,0)</f>
        <v>0</v>
      </c>
      <c r="P45" s="13">
        <f>VLOOKUP($B45,[1]郑商所raw!$B:$Z,13,0)</f>
        <v>193</v>
      </c>
      <c r="Q45" s="14">
        <f>IFERROR((VLOOKUP($B45,[1]郑商所raw!$B:$Z,14,0)/100),"-")</f>
        <v>-1</v>
      </c>
      <c r="R45" s="40">
        <f t="shared" si="2"/>
        <v>0</v>
      </c>
      <c r="S45" s="35">
        <f>VLOOKUP($B45,[1]郑商所raw!$B:$Z,15,0)</f>
        <v>0</v>
      </c>
      <c r="T45" s="35">
        <f>VLOOKUP($B45,[1]郑商所raw!$B:$Z,16,0)</f>
        <v>0.245</v>
      </c>
      <c r="U45" s="14">
        <f>IFERROR((VLOOKUP($B45,[1]郑商所raw!$B:$Z,17,0)/100),"-")</f>
        <v>-1</v>
      </c>
      <c r="V45" s="26">
        <f t="shared" si="3"/>
        <v>0</v>
      </c>
      <c r="W45" s="39">
        <f>VLOOKUP($B45,[1]郑商所raw!$B:$Z,18,0)</f>
        <v>0</v>
      </c>
      <c r="X45" s="26">
        <f t="shared" si="4"/>
        <v>0</v>
      </c>
      <c r="Y45" s="13">
        <f>VLOOKUP($B45,[1]郑商所raw!$B:$Z,19,0)</f>
        <v>0</v>
      </c>
      <c r="Z45" s="43">
        <f>IFERROR((VLOOKUP($B45,[1]郑商所raw!$B:$Z,20,0)/100),"-")</f>
        <v>0</v>
      </c>
    </row>
    <row r="46" s="1" customFormat="1" spans="1:26">
      <c r="A46" s="23"/>
      <c r="B46" s="24" t="s">
        <v>69</v>
      </c>
      <c r="C46" s="13">
        <f>VLOOKUP($B46,[1]郑商所raw!$B:$Z,2,0)</f>
        <v>39584</v>
      </c>
      <c r="D46" s="13">
        <f>VLOOKUP($B46,[1]郑商所raw!$B:$Z,3,0)</f>
        <v>1090</v>
      </c>
      <c r="E46" s="25">
        <f>IFERROR((VLOOKUP($B46,[1]郑商所raw!$B:$Z,4,0)/100),"-")</f>
        <v>35.3156</v>
      </c>
      <c r="F46" s="13">
        <f>VLOOKUP($B46,[1]郑商所raw!$B:$Z,5,0)</f>
        <v>5387</v>
      </c>
      <c r="G46" s="14">
        <f>IFERROR((VLOOKUP($B46,[1]郑商所raw!$B:$Z,6,0)/100),"-")</f>
        <v>6.3481</v>
      </c>
      <c r="H46" s="26">
        <f t="shared" si="0"/>
        <v>5.9665588455039e-5</v>
      </c>
      <c r="I46" s="35">
        <f>VLOOKUP($B46,[1]郑商所raw!$B:$Z,7,0)</f>
        <v>27.985</v>
      </c>
      <c r="J46" s="35">
        <f>VLOOKUP($B46,[1]郑商所raw!$B:$Z,8,0)</f>
        <v>0.6</v>
      </c>
      <c r="K46" s="14">
        <f>IFERROR((VLOOKUP($B46,[1]郑商所raw!$B:$Z,9,0)/100),"-")</f>
        <v>45.4543</v>
      </c>
      <c r="L46" s="35">
        <f>VLOOKUP($B46,[1]郑商所raw!$B:$Z,10,0)</f>
        <v>3.39</v>
      </c>
      <c r="M46" s="14">
        <f>IFERROR((VLOOKUP($B46,[1]郑商所raw!$B:$Z,11,0)/100),"-")</f>
        <v>7.2526</v>
      </c>
      <c r="N46" s="26">
        <f t="shared" si="1"/>
        <v>4.91654680607973e-5</v>
      </c>
      <c r="O46" s="13">
        <f>VLOOKUP($B46,[1]郑商所raw!$B:$Z,12,0)</f>
        <v>45051</v>
      </c>
      <c r="P46" s="13">
        <f>VLOOKUP($B46,[1]郑商所raw!$B:$Z,13,0)</f>
        <v>5911</v>
      </c>
      <c r="Q46" s="14">
        <f>IFERROR((VLOOKUP($B46,[1]郑商所raw!$B:$Z,14,0)/100),"-")</f>
        <v>6.6216</v>
      </c>
      <c r="R46" s="40">
        <f t="shared" si="2"/>
        <v>2.93785900382211e-5</v>
      </c>
      <c r="S46" s="35">
        <f>VLOOKUP($B46,[1]郑商所raw!$B:$Z,15,0)</f>
        <v>31.425</v>
      </c>
      <c r="T46" s="35">
        <f>VLOOKUP($B46,[1]郑商所raw!$B:$Z,16,0)</f>
        <v>3.235</v>
      </c>
      <c r="U46" s="14">
        <f>IFERROR((VLOOKUP($B46,[1]郑商所raw!$B:$Z,17,0)/100),"-")</f>
        <v>8.7141</v>
      </c>
      <c r="V46" s="26">
        <f t="shared" si="3"/>
        <v>2.4434447011589e-5</v>
      </c>
      <c r="W46" s="39">
        <f>VLOOKUP($B46,[1]郑商所raw!$B:$Z,18,0)</f>
        <v>254</v>
      </c>
      <c r="X46" s="26">
        <f t="shared" si="4"/>
        <v>8.24745615494827e-6</v>
      </c>
      <c r="Y46" s="13">
        <f>VLOOKUP($B46,[1]郑商所raw!$B:$Z,19,0)</f>
        <v>635</v>
      </c>
      <c r="Z46" s="43">
        <f>IFERROR((VLOOKUP($B46,[1]郑商所raw!$B:$Z,20,0)/100),"-")</f>
        <v>-0.6</v>
      </c>
    </row>
    <row r="47" s="1" customFormat="1" spans="1:26">
      <c r="A47" s="23"/>
      <c r="B47" s="29" t="s">
        <v>70</v>
      </c>
      <c r="C47" s="13">
        <f>VLOOKUP($B47,[1]郑商所raw!$B:$Z,2,0)</f>
        <v>19944731</v>
      </c>
      <c r="D47" s="13">
        <f>VLOOKUP($B47,[1]郑商所raw!$B:$Z,3,0)</f>
        <v>31944333</v>
      </c>
      <c r="E47" s="25">
        <f>IFERROR((VLOOKUP($B47,[1]郑商所raw!$B:$Z,4,0)/100),"-")</f>
        <v>-0.3756</v>
      </c>
      <c r="F47" s="13">
        <f>VLOOKUP($B47,[1]郑商所raw!$B:$Z,5,0)</f>
        <v>10913040</v>
      </c>
      <c r="G47" s="14">
        <f>IFERROR((VLOOKUP($B47,[1]郑商所raw!$B:$Z,6,0)/100),"-")</f>
        <v>0.8276</v>
      </c>
      <c r="H47" s="26">
        <f t="shared" si="0"/>
        <v>0.0300630080763051</v>
      </c>
      <c r="I47" s="35">
        <f>VLOOKUP($B47,[1]郑商所raw!$B:$Z,7,0)</f>
        <v>7876.795</v>
      </c>
      <c r="J47" s="35">
        <f>VLOOKUP($B47,[1]郑商所raw!$B:$Z,8,0)</f>
        <v>13153.9</v>
      </c>
      <c r="K47" s="14">
        <f>IFERROR((VLOOKUP($B47,[1]郑商所raw!$B:$Z,9,0)/100),"-")</f>
        <v>-0.4012</v>
      </c>
      <c r="L47" s="35">
        <f>VLOOKUP($B47,[1]郑商所raw!$B:$Z,10,0)</f>
        <v>4623.78</v>
      </c>
      <c r="M47" s="14">
        <f>IFERROR((VLOOKUP($B47,[1]郑商所raw!$B:$Z,11,0)/100),"-")</f>
        <v>0.7035</v>
      </c>
      <c r="N47" s="26">
        <f t="shared" si="1"/>
        <v>0.0138383531532588</v>
      </c>
      <c r="O47" s="13">
        <f>VLOOKUP($B47,[1]郑商所raw!$B:$Z,12,0)</f>
        <v>39863896</v>
      </c>
      <c r="P47" s="13">
        <f>VLOOKUP($B47,[1]郑商所raw!$B:$Z,13,0)</f>
        <v>66079333</v>
      </c>
      <c r="Q47" s="14">
        <f>IFERROR((VLOOKUP($B47,[1]郑商所raw!$B:$Z,14,0)/100),"-")</f>
        <v>-0.3967</v>
      </c>
      <c r="R47" s="40">
        <f t="shared" si="2"/>
        <v>0.0259959836165742</v>
      </c>
      <c r="S47" s="35">
        <f>VLOOKUP($B47,[1]郑商所raw!$B:$Z,15,0)</f>
        <v>16156.725</v>
      </c>
      <c r="T47" s="35">
        <f>VLOOKUP($B47,[1]郑商所raw!$B:$Z,16,0)</f>
        <v>25560.76</v>
      </c>
      <c r="U47" s="14">
        <f>IFERROR((VLOOKUP($B47,[1]郑商所raw!$B:$Z,17,0)/100),"-")</f>
        <v>-0.3679</v>
      </c>
      <c r="V47" s="26">
        <f t="shared" si="3"/>
        <v>0.012562629781808</v>
      </c>
      <c r="W47" s="39">
        <f>VLOOKUP($B47,[1]郑商所raw!$B:$Z,18,0)</f>
        <v>751617</v>
      </c>
      <c r="X47" s="26">
        <f t="shared" si="4"/>
        <v>0.0244052293417864</v>
      </c>
      <c r="Y47" s="13">
        <f>VLOOKUP($B47,[1]郑商所raw!$B:$Z,19,0)</f>
        <v>538450</v>
      </c>
      <c r="Z47" s="43">
        <f>IFERROR((VLOOKUP($B47,[1]郑商所raw!$B:$Z,20,0)/100),"-")</f>
        <v>0.3959</v>
      </c>
    </row>
    <row r="48" s="1" customFormat="1" spans="1:26">
      <c r="A48" s="23"/>
      <c r="B48" s="30" t="s">
        <v>71</v>
      </c>
      <c r="C48" s="13">
        <f>VLOOKUP($B48,[1]郑商所raw!$B:$Z,2,0)</f>
        <v>60265</v>
      </c>
      <c r="D48" s="13">
        <f>VLOOKUP($B48,[1]郑商所raw!$B:$Z,3,0)</f>
        <v>15291316</v>
      </c>
      <c r="E48" s="25">
        <f>IFERROR((VLOOKUP($B48,[1]郑商所raw!$B:$Z,4,0)/100),"-")</f>
        <v>-0.9961</v>
      </c>
      <c r="F48" s="13">
        <f>VLOOKUP($B48,[1]郑商所raw!$B:$Z,5,0)</f>
        <v>162311</v>
      </c>
      <c r="G48" s="14">
        <f>IFERROR((VLOOKUP($B48,[1]郑商所raw!$B:$Z,6,0)/100),"-")</f>
        <v>-0.6287</v>
      </c>
      <c r="H48" s="26">
        <f t="shared" si="0"/>
        <v>9.08383864248921e-5</v>
      </c>
      <c r="I48" s="35">
        <f>VLOOKUP($B48,[1]郑商所raw!$B:$Z,7,0)</f>
        <v>50.965</v>
      </c>
      <c r="J48" s="35">
        <f>VLOOKUP($B48,[1]郑商所raw!$B:$Z,8,0)</f>
        <v>10158.465</v>
      </c>
      <c r="K48" s="14">
        <f>IFERROR((VLOOKUP($B48,[1]郑商所raw!$B:$Z,9,0)/100),"-")</f>
        <v>-0.995</v>
      </c>
      <c r="L48" s="35">
        <f>VLOOKUP($B48,[1]郑商所raw!$B:$Z,10,0)</f>
        <v>133</v>
      </c>
      <c r="M48" s="14">
        <f>IFERROR((VLOOKUP($B48,[1]郑商所raw!$B:$Z,11,0)/100),"-")</f>
        <v>-0.6168</v>
      </c>
      <c r="N48" s="26">
        <f t="shared" si="1"/>
        <v>8.95378981496707e-5</v>
      </c>
      <c r="O48" s="13">
        <f>VLOOKUP($B48,[1]郑商所raw!$B:$Z,12,0)</f>
        <v>469180</v>
      </c>
      <c r="P48" s="13">
        <f>VLOOKUP($B48,[1]郑商所raw!$B:$Z,13,0)</f>
        <v>39496129</v>
      </c>
      <c r="Q48" s="14">
        <f>IFERROR((VLOOKUP($B48,[1]郑商所raw!$B:$Z,14,0)/100),"-")</f>
        <v>-0.9881</v>
      </c>
      <c r="R48" s="40">
        <f t="shared" si="2"/>
        <v>0.000305960952567814</v>
      </c>
      <c r="S48" s="35">
        <f>VLOOKUP($B48,[1]郑商所raw!$B:$Z,15,0)</f>
        <v>364.945</v>
      </c>
      <c r="T48" s="35">
        <f>VLOOKUP($B48,[1]郑商所raw!$B:$Z,16,0)</f>
        <v>26108.39</v>
      </c>
      <c r="U48" s="14">
        <f>IFERROR((VLOOKUP($B48,[1]郑商所raw!$B:$Z,17,0)/100),"-")</f>
        <v>-0.986</v>
      </c>
      <c r="V48" s="26">
        <f t="shared" si="3"/>
        <v>0.000283762267769112</v>
      </c>
      <c r="W48" s="39">
        <f>VLOOKUP($B48,[1]郑商所raw!$B:$Z,18,0)</f>
        <v>3258</v>
      </c>
      <c r="X48" s="26">
        <f t="shared" si="4"/>
        <v>0.000105788236822132</v>
      </c>
      <c r="Y48" s="13">
        <f>VLOOKUP($B48,[1]郑商所raw!$B:$Z,19,0)</f>
        <v>16405</v>
      </c>
      <c r="Z48" s="43">
        <f>IFERROR((VLOOKUP($B48,[1]郑商所raw!$B:$Z,20,0)/100),"-")</f>
        <v>-0.8014</v>
      </c>
    </row>
    <row r="49" s="1" customFormat="1" spans="1:26">
      <c r="A49" s="23"/>
      <c r="B49" s="30" t="s">
        <v>72</v>
      </c>
      <c r="C49" s="13">
        <f>VLOOKUP($B49,[1]郑商所raw!$B:$Z,2,0)</f>
        <v>38902</v>
      </c>
      <c r="D49" s="13">
        <f>VLOOKUP($B49,[1]郑商所raw!$B:$Z,3,0)</f>
        <v>1307159</v>
      </c>
      <c r="E49" s="25">
        <f>IFERROR((VLOOKUP($B49,[1]郑商所raw!$B:$Z,4,0)/100),"-")</f>
        <v>-0.9702</v>
      </c>
      <c r="F49" s="13">
        <f>VLOOKUP($B49,[1]郑商所raw!$B:$Z,5,0)</f>
        <v>43627</v>
      </c>
      <c r="G49" s="14">
        <f>IFERROR((VLOOKUP($B49,[1]郑商所raw!$B:$Z,6,0)/100),"-")</f>
        <v>-0.1083</v>
      </c>
      <c r="H49" s="26">
        <f t="shared" si="0"/>
        <v>5.86375990824052e-5</v>
      </c>
      <c r="I49" s="35">
        <f>VLOOKUP($B49,[1]郑商所raw!$B:$Z,7,0)</f>
        <v>0.985</v>
      </c>
      <c r="J49" s="35">
        <f>VLOOKUP($B49,[1]郑商所raw!$B:$Z,8,0)</f>
        <v>13.485</v>
      </c>
      <c r="K49" s="14">
        <f>IFERROR((VLOOKUP($B49,[1]郑商所raw!$B:$Z,9,0)/100),"-")</f>
        <v>-0.9269</v>
      </c>
      <c r="L49" s="35">
        <f>VLOOKUP($B49,[1]郑商所raw!$B:$Z,10,0)</f>
        <v>1.415</v>
      </c>
      <c r="M49" s="14">
        <f>IFERROR((VLOOKUP($B49,[1]郑商所raw!$B:$Z,11,0)/100),"-")</f>
        <v>-0.303</v>
      </c>
      <c r="N49" s="26">
        <f t="shared" si="1"/>
        <v>1.73049798248652e-6</v>
      </c>
      <c r="O49" s="13">
        <f>VLOOKUP($B49,[1]郑商所raw!$B:$Z,12,0)</f>
        <v>121529</v>
      </c>
      <c r="P49" s="13">
        <f>VLOOKUP($B49,[1]郑商所raw!$B:$Z,13,0)</f>
        <v>2488996</v>
      </c>
      <c r="Q49" s="14">
        <f>IFERROR((VLOOKUP($B49,[1]郑商所raw!$B:$Z,14,0)/100),"-")</f>
        <v>-0.9512</v>
      </c>
      <c r="R49" s="40">
        <f t="shared" si="2"/>
        <v>7.92513078234662e-5</v>
      </c>
      <c r="S49" s="35">
        <f>VLOOKUP($B49,[1]郑商所raw!$B:$Z,15,0)</f>
        <v>3.84</v>
      </c>
      <c r="T49" s="35">
        <f>VLOOKUP($B49,[1]郑商所raw!$B:$Z,16,0)</f>
        <v>30.895</v>
      </c>
      <c r="U49" s="14">
        <f>IFERROR((VLOOKUP($B49,[1]郑商所raw!$B:$Z,17,0)/100),"-")</f>
        <v>-0.8757</v>
      </c>
      <c r="V49" s="26">
        <f t="shared" si="3"/>
        <v>2.9857844558314e-6</v>
      </c>
      <c r="W49" s="39">
        <f>VLOOKUP($B49,[1]郑商所raw!$B:$Z,18,0)</f>
        <v>8141</v>
      </c>
      <c r="X49" s="26">
        <f t="shared" si="4"/>
        <v>0.000264340710856039</v>
      </c>
      <c r="Y49" s="13">
        <f>VLOOKUP($B49,[1]郑商所raw!$B:$Z,19,0)</f>
        <v>14380</v>
      </c>
      <c r="Z49" s="43">
        <f>IFERROR((VLOOKUP($B49,[1]郑商所raw!$B:$Z,20,0)/100),"-")</f>
        <v>-0.4339</v>
      </c>
    </row>
    <row r="50" s="1" customFormat="1" spans="1:26">
      <c r="A50" s="23"/>
      <c r="B50" s="30" t="s">
        <v>73</v>
      </c>
      <c r="C50" s="13">
        <f>VLOOKUP($B50,[1]郑商所raw!$B:$Z,2,0)</f>
        <v>890</v>
      </c>
      <c r="D50" s="13">
        <f>VLOOKUP($B50,[1]郑商所raw!$B:$Z,3,0)</f>
        <v>132</v>
      </c>
      <c r="E50" s="25">
        <f>IFERROR((VLOOKUP($B50,[1]郑商所raw!$B:$Z,4,0)/100),"-")</f>
        <v>5.7424</v>
      </c>
      <c r="F50" s="13">
        <f>VLOOKUP($B50,[1]郑商所raw!$B:$Z,5,0)</f>
        <v>0</v>
      </c>
      <c r="G50" s="14">
        <f>IFERROR((VLOOKUP($B50,[1]郑商所raw!$B:$Z,6,0)/100),"-")</f>
        <v>0</v>
      </c>
      <c r="H50" s="26">
        <f t="shared" si="0"/>
        <v>1.34151105812916e-6</v>
      </c>
      <c r="I50" s="35">
        <f>VLOOKUP($B50,[1]郑商所raw!$B:$Z,7,0)</f>
        <v>0.525</v>
      </c>
      <c r="J50" s="35">
        <f>VLOOKUP($B50,[1]郑商所raw!$B:$Z,8,0)</f>
        <v>0.075</v>
      </c>
      <c r="K50" s="14">
        <f>IFERROR((VLOOKUP($B50,[1]郑商所raw!$B:$Z,9,0)/100),"-")</f>
        <v>6.1113</v>
      </c>
      <c r="L50" s="35">
        <f>VLOOKUP($B50,[1]郑商所raw!$B:$Z,10,0)</f>
        <v>0</v>
      </c>
      <c r="M50" s="14">
        <f>IFERROR((VLOOKUP($B50,[1]郑商所raw!$B:$Z,11,0)/100),"-")</f>
        <v>0</v>
      </c>
      <c r="N50" s="26">
        <f t="shared" si="1"/>
        <v>9.22346640411598e-7</v>
      </c>
      <c r="O50" s="13">
        <f>VLOOKUP($B50,[1]郑商所raw!$B:$Z,12,0)</f>
        <v>895</v>
      </c>
      <c r="P50" s="13">
        <f>VLOOKUP($B50,[1]郑商所raw!$B:$Z,13,0)</f>
        <v>1280</v>
      </c>
      <c r="Q50" s="14">
        <f>IFERROR((VLOOKUP($B50,[1]郑商所raw!$B:$Z,14,0)/100),"-")</f>
        <v>-0.3008</v>
      </c>
      <c r="R50" s="40">
        <f t="shared" si="2"/>
        <v>5.83646047461941e-7</v>
      </c>
      <c r="S50" s="35">
        <f>VLOOKUP($B50,[1]郑商所raw!$B:$Z,15,0)</f>
        <v>0.53</v>
      </c>
      <c r="T50" s="35">
        <f>VLOOKUP($B50,[1]郑商所raw!$B:$Z,16,0)</f>
        <v>0.745</v>
      </c>
      <c r="U50" s="14">
        <f>IFERROR((VLOOKUP($B50,[1]郑商所raw!$B:$Z,17,0)/100),"-")</f>
        <v>-0.2886</v>
      </c>
      <c r="V50" s="26">
        <f t="shared" si="3"/>
        <v>4.12100458747563e-7</v>
      </c>
      <c r="W50" s="39">
        <f>VLOOKUP($B50,[1]郑商所raw!$B:$Z,18,0)</f>
        <v>23</v>
      </c>
      <c r="X50" s="26">
        <f t="shared" si="4"/>
        <v>7.46816895920513e-7</v>
      </c>
      <c r="Y50" s="13">
        <f>VLOOKUP($B50,[1]郑商所raw!$B:$Z,19,0)</f>
        <v>0</v>
      </c>
      <c r="Z50" s="43">
        <f>IFERROR((VLOOKUP($B50,[1]郑商所raw!$B:$Z,20,0)/100),"-")</f>
        <v>0</v>
      </c>
    </row>
    <row r="51" s="1" customFormat="1" spans="1:26">
      <c r="A51" s="23"/>
      <c r="B51" s="30" t="s">
        <v>74</v>
      </c>
      <c r="C51" s="13">
        <f>VLOOKUP($B51,[1]郑商所raw!$B:$Z,2,0)</f>
        <v>95</v>
      </c>
      <c r="D51" s="13">
        <f>VLOOKUP($B51,[1]郑商所raw!$B:$Z,3,0)</f>
        <v>0</v>
      </c>
      <c r="E51" s="25">
        <f>IFERROR((VLOOKUP($B51,[1]郑商所raw!$B:$Z,4,0)/100),"-")</f>
        <v>0</v>
      </c>
      <c r="F51" s="13">
        <f>VLOOKUP($B51,[1]郑商所raw!$B:$Z,5,0)</f>
        <v>0</v>
      </c>
      <c r="G51" s="14">
        <f>IFERROR((VLOOKUP($B51,[1]郑商所raw!$B:$Z,6,0)/100),"-")</f>
        <v>0</v>
      </c>
      <c r="H51" s="26">
        <f t="shared" si="0"/>
        <v>1.43195000586821e-7</v>
      </c>
      <c r="I51" s="35">
        <f>VLOOKUP($B51,[1]郑商所raw!$B:$Z,7,0)</f>
        <v>0.055</v>
      </c>
      <c r="J51" s="35">
        <f>VLOOKUP($B51,[1]郑商所raw!$B:$Z,8,0)</f>
        <v>0</v>
      </c>
      <c r="K51" s="14">
        <f>IFERROR((VLOOKUP($B51,[1]郑商所raw!$B:$Z,9,0)/100),"-")</f>
        <v>0</v>
      </c>
      <c r="L51" s="35">
        <f>VLOOKUP($B51,[1]郑商所raw!$B:$Z,10,0)</f>
        <v>0</v>
      </c>
      <c r="M51" s="14">
        <f>IFERROR((VLOOKUP($B51,[1]郑商所raw!$B:$Z,11,0)/100),"-")</f>
        <v>0</v>
      </c>
      <c r="N51" s="26">
        <f t="shared" si="1"/>
        <v>9.66267909002627e-8</v>
      </c>
      <c r="O51" s="13">
        <f>VLOOKUP($B51,[1]郑商所raw!$B:$Z,12,0)</f>
        <v>95</v>
      </c>
      <c r="P51" s="13">
        <f>VLOOKUP($B51,[1]郑商所raw!$B:$Z,13,0)</f>
        <v>0</v>
      </c>
      <c r="Q51" s="14">
        <f>IFERROR((VLOOKUP($B51,[1]郑商所raw!$B:$Z,14,0)/100),"-")</f>
        <v>0</v>
      </c>
      <c r="R51" s="40">
        <f t="shared" si="2"/>
        <v>6.19512564345077e-8</v>
      </c>
      <c r="S51" s="35">
        <f>VLOOKUP($B51,[1]郑商所raw!$B:$Z,15,0)</f>
        <v>0.055</v>
      </c>
      <c r="T51" s="35">
        <f>VLOOKUP($B51,[1]郑商所raw!$B:$Z,16,0)</f>
        <v>0</v>
      </c>
      <c r="U51" s="14">
        <f>IFERROR((VLOOKUP($B51,[1]郑商所raw!$B:$Z,17,0)/100),"-")</f>
        <v>0</v>
      </c>
      <c r="V51" s="26">
        <f t="shared" si="3"/>
        <v>4.27651419455018e-8</v>
      </c>
      <c r="W51" s="39">
        <f>VLOOKUP($B51,[1]郑商所raw!$B:$Z,18,0)</f>
        <v>0</v>
      </c>
      <c r="X51" s="26">
        <f t="shared" si="4"/>
        <v>0</v>
      </c>
      <c r="Y51" s="13">
        <f>VLOOKUP($B51,[1]郑商所raw!$B:$Z,19,0)</f>
        <v>0</v>
      </c>
      <c r="Z51" s="43">
        <f>IFERROR((VLOOKUP($B51,[1]郑商所raw!$B:$Z,20,0)/100),"-")</f>
        <v>0</v>
      </c>
    </row>
    <row r="52" s="1" customFormat="1" spans="1:26">
      <c r="A52" s="23"/>
      <c r="B52" s="30" t="s">
        <v>75</v>
      </c>
      <c r="C52" s="13">
        <f>VLOOKUP($B52,[1]郑商所raw!$B:$Z,2,0)</f>
        <v>6410518</v>
      </c>
      <c r="D52" s="13">
        <f>VLOOKUP($B52,[1]郑商所raw!$B:$Z,3,0)</f>
        <v>8809022</v>
      </c>
      <c r="E52" s="25">
        <f>IFERROR((VLOOKUP($B52,[1]郑商所raw!$B:$Z,4,0)/100),"-")</f>
        <v>-0.2723</v>
      </c>
      <c r="F52" s="13">
        <f>VLOOKUP($B52,[1]郑商所raw!$B:$Z,5,0)</f>
        <v>4688069</v>
      </c>
      <c r="G52" s="14">
        <f>IFERROR((VLOOKUP($B52,[1]郑商所raw!$B:$Z,6,0)/100),"-")</f>
        <v>0.3674</v>
      </c>
      <c r="H52" s="26">
        <f t="shared" si="0"/>
        <v>0.00966267503970341</v>
      </c>
      <c r="I52" s="35">
        <f>VLOOKUP($B52,[1]郑商所raw!$B:$Z,7,0)</f>
        <v>3095.49</v>
      </c>
      <c r="J52" s="35">
        <f>VLOOKUP($B52,[1]郑商所raw!$B:$Z,8,0)</f>
        <v>3308.105</v>
      </c>
      <c r="K52" s="14">
        <f>IFERROR((VLOOKUP($B52,[1]郑商所raw!$B:$Z,9,0)/100),"-")</f>
        <v>-0.0643</v>
      </c>
      <c r="L52" s="35">
        <f>VLOOKUP($B52,[1]郑商所raw!$B:$Z,10,0)</f>
        <v>2160.58</v>
      </c>
      <c r="M52" s="14">
        <f>IFERROR((VLOOKUP($B52,[1]郑商所raw!$B:$Z,11,0)/100),"-")</f>
        <v>0.4327</v>
      </c>
      <c r="N52" s="26">
        <f t="shared" si="1"/>
        <v>0.00543831390843371</v>
      </c>
      <c r="O52" s="13">
        <f>VLOOKUP($B52,[1]郑商所raw!$B:$Z,12,0)</f>
        <v>16389967</v>
      </c>
      <c r="P52" s="13">
        <f>VLOOKUP($B52,[1]郑商所raw!$B:$Z,13,0)</f>
        <v>22445612</v>
      </c>
      <c r="Q52" s="14">
        <f>IFERROR((VLOOKUP($B52,[1]郑商所raw!$B:$Z,14,0)/100),"-")</f>
        <v>-0.2698</v>
      </c>
      <c r="R52" s="40">
        <f t="shared" si="2"/>
        <v>0.0106882005112644</v>
      </c>
      <c r="S52" s="35">
        <f>VLOOKUP($B52,[1]郑商所raw!$B:$Z,15,0)</f>
        <v>7604.55</v>
      </c>
      <c r="T52" s="35">
        <f>VLOOKUP($B52,[1]郑商所raw!$B:$Z,16,0)</f>
        <v>8301.205</v>
      </c>
      <c r="U52" s="14">
        <f>IFERROR((VLOOKUP($B52,[1]郑商所raw!$B:$Z,17,0)/100),"-")</f>
        <v>-0.0839</v>
      </c>
      <c r="V52" s="26">
        <f t="shared" si="3"/>
        <v>0.00591290291239392</v>
      </c>
      <c r="W52" s="39">
        <f>VLOOKUP($B52,[1]郑商所raw!$B:$Z,18,0)</f>
        <v>255303</v>
      </c>
      <c r="X52" s="26">
        <f t="shared" si="4"/>
        <v>0.00828976495561716</v>
      </c>
      <c r="Y52" s="13">
        <f>VLOOKUP($B52,[1]郑商所raw!$B:$Z,19,0)</f>
        <v>205225</v>
      </c>
      <c r="Z52" s="43">
        <f>IFERROR((VLOOKUP($B52,[1]郑商所raw!$B:$Z,20,0)/100),"-")</f>
        <v>0.244</v>
      </c>
    </row>
    <row r="53" s="1" customFormat="1" spans="1:26">
      <c r="A53" s="23"/>
      <c r="B53" s="30" t="s">
        <v>76</v>
      </c>
      <c r="C53" s="13">
        <f>VLOOKUP($B53,[1]郑商所raw!$B:$Z,2,0)</f>
        <v>3559254</v>
      </c>
      <c r="D53" s="13">
        <f>VLOOKUP($B53,[1]郑商所raw!$B:$Z,3,0)</f>
        <v>6968746</v>
      </c>
      <c r="E53" s="25">
        <f>IFERROR((VLOOKUP($B53,[1]郑商所raw!$B:$Z,4,0)/100),"-")</f>
        <v>-0.4893</v>
      </c>
      <c r="F53" s="13">
        <f>VLOOKUP($B53,[1]郑商所raw!$B:$Z,5,0)</f>
        <v>2046513</v>
      </c>
      <c r="G53" s="14">
        <f>IFERROR((VLOOKUP($B53,[1]郑商所raw!$B:$Z,6,0)/100),"-")</f>
        <v>0.7392</v>
      </c>
      <c r="H53" s="26">
        <f t="shared" si="0"/>
        <v>0.00536491977493309</v>
      </c>
      <c r="I53" s="35">
        <f>VLOOKUP($B53,[1]郑商所raw!$B:$Z,7,0)</f>
        <v>1550.365</v>
      </c>
      <c r="J53" s="35">
        <f>VLOOKUP($B53,[1]郑商所raw!$B:$Z,8,0)</f>
        <v>2537.45</v>
      </c>
      <c r="K53" s="14">
        <f>IFERROR((VLOOKUP($B53,[1]郑商所raw!$B:$Z,9,0)/100),"-")</f>
        <v>-0.389</v>
      </c>
      <c r="L53" s="35">
        <f>VLOOKUP($B53,[1]郑商所raw!$B:$Z,10,0)</f>
        <v>847.78</v>
      </c>
      <c r="M53" s="14">
        <f>IFERROR((VLOOKUP($B53,[1]郑商所raw!$B:$Z,11,0)/100),"-")</f>
        <v>0.8287</v>
      </c>
      <c r="N53" s="26">
        <f t="shared" si="1"/>
        <v>0.00272375990316519</v>
      </c>
      <c r="O53" s="13">
        <f>VLOOKUP($B53,[1]郑商所raw!$B:$Z,12,0)</f>
        <v>8124996</v>
      </c>
      <c r="P53" s="13">
        <f>VLOOKUP($B53,[1]郑商所raw!$B:$Z,13,0)</f>
        <v>19391896</v>
      </c>
      <c r="Q53" s="14">
        <f>IFERROR((VLOOKUP($B53,[1]郑商所raw!$B:$Z,14,0)/100),"-")</f>
        <v>-0.581</v>
      </c>
      <c r="R53" s="40">
        <f t="shared" si="2"/>
        <v>0.00529846011289842</v>
      </c>
      <c r="S53" s="35">
        <f>VLOOKUP($B53,[1]郑商所raw!$B:$Z,15,0)</f>
        <v>3441.175</v>
      </c>
      <c r="T53" s="35">
        <f>VLOOKUP($B53,[1]郑商所raw!$B:$Z,16,0)</f>
        <v>7062.935</v>
      </c>
      <c r="U53" s="14">
        <f>IFERROR((VLOOKUP($B53,[1]郑商所raw!$B:$Z,17,0)/100),"-")</f>
        <v>-0.5128</v>
      </c>
      <c r="V53" s="26">
        <f t="shared" si="3"/>
        <v>0.00267567886062386</v>
      </c>
      <c r="W53" s="39">
        <f>VLOOKUP($B53,[1]郑商所raw!$B:$Z,18,0)</f>
        <v>263420</v>
      </c>
      <c r="X53" s="26">
        <f t="shared" si="4"/>
        <v>0.00855332637927745</v>
      </c>
      <c r="Y53" s="13">
        <f>VLOOKUP($B53,[1]郑商所raw!$B:$Z,19,0)</f>
        <v>245728</v>
      </c>
      <c r="Z53" s="43">
        <f>IFERROR((VLOOKUP($B53,[1]郑商所raw!$B:$Z,20,0)/100),"-")</f>
        <v>0.072</v>
      </c>
    </row>
    <row r="54" s="1" customFormat="1" spans="1:26">
      <c r="A54" s="23"/>
      <c r="B54" s="30" t="s">
        <v>77</v>
      </c>
      <c r="C54" s="13">
        <f>VLOOKUP($B54,[1]郑商所raw!$B:$Z,2,0)</f>
        <v>3847539</v>
      </c>
      <c r="D54" s="13">
        <f>VLOOKUP($B54,[1]郑商所raw!$B:$Z,3,0)</f>
        <v>12619879</v>
      </c>
      <c r="E54" s="25">
        <f>IFERROR((VLOOKUP($B54,[1]郑商所raw!$B:$Z,4,0)/100),"-")</f>
        <v>-0.6951</v>
      </c>
      <c r="F54" s="13">
        <f>VLOOKUP($B54,[1]郑商所raw!$B:$Z,5,0)</f>
        <v>2618625</v>
      </c>
      <c r="G54" s="14">
        <f>IFERROR((VLOOKUP($B54,[1]郑商所raw!$B:$Z,6,0)/100),"-")</f>
        <v>0.4693</v>
      </c>
      <c r="H54" s="26">
        <f t="shared" si="0"/>
        <v>0.00579945630908227</v>
      </c>
      <c r="I54" s="35">
        <f>VLOOKUP($B54,[1]郑商所raw!$B:$Z,7,0)</f>
        <v>3542.125</v>
      </c>
      <c r="J54" s="35">
        <f>VLOOKUP($B54,[1]郑商所raw!$B:$Z,8,0)</f>
        <v>7370.8</v>
      </c>
      <c r="K54" s="14">
        <f>IFERROR((VLOOKUP($B54,[1]郑商所raw!$B:$Z,9,0)/100),"-")</f>
        <v>-0.5194</v>
      </c>
      <c r="L54" s="35">
        <f>VLOOKUP($B54,[1]郑商所raw!$B:$Z,10,0)</f>
        <v>2385.305</v>
      </c>
      <c r="M54" s="14">
        <f>IFERROR((VLOOKUP($B54,[1]郑商所raw!$B:$Z,11,0)/100),"-")</f>
        <v>0.485</v>
      </c>
      <c r="N54" s="26">
        <f t="shared" si="1"/>
        <v>0.00622298494031987</v>
      </c>
      <c r="O54" s="13">
        <f>VLOOKUP($B54,[1]郑商所raw!$B:$Z,12,0)</f>
        <v>10409347</v>
      </c>
      <c r="P54" s="13">
        <f>VLOOKUP($B54,[1]郑商所raw!$B:$Z,13,0)</f>
        <v>27251827</v>
      </c>
      <c r="Q54" s="14">
        <f>IFERROR((VLOOKUP($B54,[1]郑商所raw!$B:$Z,14,0)/100),"-")</f>
        <v>-0.618</v>
      </c>
      <c r="R54" s="40">
        <f t="shared" si="2"/>
        <v>0.0067881276348713</v>
      </c>
      <c r="S54" s="35">
        <f>VLOOKUP($B54,[1]郑商所raw!$B:$Z,15,0)</f>
        <v>9276.455</v>
      </c>
      <c r="T54" s="35">
        <f>VLOOKUP($B54,[1]郑商所raw!$B:$Z,16,0)</f>
        <v>16486.315</v>
      </c>
      <c r="U54" s="14">
        <f>IFERROR((VLOOKUP($B54,[1]郑商所raw!$B:$Z,17,0)/100),"-")</f>
        <v>-0.4373</v>
      </c>
      <c r="V54" s="26">
        <f t="shared" si="3"/>
        <v>0.00721288936047381</v>
      </c>
      <c r="W54" s="39">
        <f>VLOOKUP($B54,[1]郑商所raw!$B:$Z,18,0)</f>
        <v>213147</v>
      </c>
      <c r="X54" s="26">
        <f t="shared" si="4"/>
        <v>0.00692094699629433</v>
      </c>
      <c r="Y54" s="13">
        <f>VLOOKUP($B54,[1]郑商所raw!$B:$Z,19,0)</f>
        <v>222386</v>
      </c>
      <c r="Z54" s="43">
        <f>IFERROR((VLOOKUP($B54,[1]郑商所raw!$B:$Z,20,0)/100),"-")</f>
        <v>-0.0415</v>
      </c>
    </row>
    <row r="55" s="1" customFormat="1" spans="1:26">
      <c r="A55" s="23"/>
      <c r="B55" s="30" t="s">
        <v>78</v>
      </c>
      <c r="C55" s="13">
        <f>VLOOKUP($B55,[1]郑商所raw!$B:$Z,2,0)</f>
        <v>385560</v>
      </c>
      <c r="D55" s="13">
        <f>VLOOKUP($B55,[1]郑商所raw!$B:$Z,3,0)</f>
        <v>555525</v>
      </c>
      <c r="E55" s="25">
        <f>IFERROR((VLOOKUP($B55,[1]郑商所raw!$B:$Z,4,0)/100),"-")</f>
        <v>-0.306</v>
      </c>
      <c r="F55" s="13">
        <f>VLOOKUP($B55,[1]郑商所raw!$B:$Z,5,0)</f>
        <v>269735</v>
      </c>
      <c r="G55" s="14">
        <f>IFERROR((VLOOKUP($B55,[1]郑商所raw!$B:$Z,6,0)/100),"-")</f>
        <v>0.4294</v>
      </c>
      <c r="H55" s="26">
        <f t="shared" si="0"/>
        <v>0.000581160678171101</v>
      </c>
      <c r="I55" s="35">
        <f>VLOOKUP($B55,[1]郑商所raw!$B:$Z,7,0)</f>
        <v>238.185</v>
      </c>
      <c r="J55" s="35">
        <f>VLOOKUP($B55,[1]郑商所raw!$B:$Z,8,0)</f>
        <v>284.11</v>
      </c>
      <c r="K55" s="14">
        <f>IFERROR((VLOOKUP($B55,[1]郑商所raw!$B:$Z,9,0)/100),"-")</f>
        <v>-0.1616</v>
      </c>
      <c r="L55" s="35">
        <f>VLOOKUP($B55,[1]郑商所raw!$B:$Z,10,0)</f>
        <v>186.56</v>
      </c>
      <c r="M55" s="14">
        <f>IFERROR((VLOOKUP($B55,[1]郑商所raw!$B:$Z,11,0)/100),"-")</f>
        <v>0.2767</v>
      </c>
      <c r="N55" s="26">
        <f t="shared" si="1"/>
        <v>0.000418455494374165</v>
      </c>
      <c r="O55" s="13">
        <f>VLOOKUP($B55,[1]郑商所raw!$B:$Z,12,0)</f>
        <v>1159442</v>
      </c>
      <c r="P55" s="13">
        <f>VLOOKUP($B55,[1]郑商所raw!$B:$Z,13,0)</f>
        <v>1446916</v>
      </c>
      <c r="Q55" s="14">
        <f>IFERROR((VLOOKUP($B55,[1]郑商所raw!$B:$Z,14,0)/100),"-")</f>
        <v>-0.1987</v>
      </c>
      <c r="R55" s="40">
        <f t="shared" si="2"/>
        <v>0.000756093564873037</v>
      </c>
      <c r="S55" s="35">
        <f>VLOOKUP($B55,[1]郑商所raw!$B:$Z,15,0)</f>
        <v>756.73</v>
      </c>
      <c r="T55" s="35">
        <f>VLOOKUP($B55,[1]郑商所raw!$B:$Z,16,0)</f>
        <v>746.04</v>
      </c>
      <c r="U55" s="14">
        <f>IFERROR((VLOOKUP($B55,[1]郑商所raw!$B:$Z,17,0)/100),"-")</f>
        <v>0.0143</v>
      </c>
      <c r="V55" s="26">
        <f t="shared" si="3"/>
        <v>0.000588393924807629</v>
      </c>
      <c r="W55" s="39">
        <f>VLOOKUP($B55,[1]郑商所raw!$B:$Z,18,0)</f>
        <v>51955</v>
      </c>
      <c r="X55" s="26">
        <f t="shared" si="4"/>
        <v>0.00168699442728479</v>
      </c>
      <c r="Y55" s="13">
        <f>VLOOKUP($B55,[1]郑商所raw!$B:$Z,19,0)</f>
        <v>58739</v>
      </c>
      <c r="Z55" s="43">
        <f>IFERROR((VLOOKUP($B55,[1]郑商所raw!$B:$Z,20,0)/100),"-")</f>
        <v>-0.1155</v>
      </c>
    </row>
    <row r="56" s="1" customFormat="1" spans="1:26">
      <c r="A56" s="23"/>
      <c r="B56" s="30" t="s">
        <v>79</v>
      </c>
      <c r="C56" s="13">
        <f>VLOOKUP($B56,[1]郑商所raw!$B:$Z,2,0)</f>
        <v>2094168</v>
      </c>
      <c r="D56" s="13">
        <f>VLOOKUP($B56,[1]郑商所raw!$B:$Z,3,0)</f>
        <v>4973036</v>
      </c>
      <c r="E56" s="25">
        <f>IFERROR((VLOOKUP($B56,[1]郑商所raw!$B:$Z,4,0)/100),"-")</f>
        <v>-0.5789</v>
      </c>
      <c r="F56" s="13">
        <f>VLOOKUP($B56,[1]郑商所raw!$B:$Z,5,0)</f>
        <v>1350693</v>
      </c>
      <c r="G56" s="14">
        <f>IFERROR((VLOOKUP($B56,[1]郑商所raw!$B:$Z,6,0)/100),"-")</f>
        <v>0.5504</v>
      </c>
      <c r="H56" s="26">
        <f t="shared" si="0"/>
        <v>0.00315657250514633</v>
      </c>
      <c r="I56" s="35">
        <f>VLOOKUP($B56,[1]郑商所raw!$B:$Z,7,0)</f>
        <v>1138.74</v>
      </c>
      <c r="J56" s="35">
        <f>VLOOKUP($B56,[1]郑商所raw!$B:$Z,8,0)</f>
        <v>1914.5</v>
      </c>
      <c r="K56" s="14">
        <f>IFERROR((VLOOKUP($B56,[1]郑商所raw!$B:$Z,9,0)/100),"-")</f>
        <v>-0.4052</v>
      </c>
      <c r="L56" s="35">
        <f>VLOOKUP($B56,[1]郑商所raw!$B:$Z,10,0)</f>
        <v>675.475</v>
      </c>
      <c r="M56" s="14">
        <f>IFERROR((VLOOKUP($B56,[1]郑商所raw!$B:$Z,11,0)/100),"-")</f>
        <v>0.6858</v>
      </c>
      <c r="N56" s="26">
        <f t="shared" si="1"/>
        <v>0.00200059621581391</v>
      </c>
      <c r="O56" s="13">
        <f>VLOOKUP($B56,[1]郑商所raw!$B:$Z,12,0)</f>
        <v>4927075</v>
      </c>
      <c r="P56" s="13">
        <f>VLOOKUP($B56,[1]郑商所raw!$B:$Z,13,0)</f>
        <v>10157687</v>
      </c>
      <c r="Q56" s="14">
        <f>IFERROR((VLOOKUP($B56,[1]郑商所raw!$B:$Z,14,0)/100),"-")</f>
        <v>-0.5149</v>
      </c>
      <c r="R56" s="40">
        <f t="shared" si="2"/>
        <v>0.00321303670312687</v>
      </c>
      <c r="S56" s="35">
        <f>VLOOKUP($B56,[1]郑商所raw!$B:$Z,15,0)</f>
        <v>2563.945</v>
      </c>
      <c r="T56" s="35">
        <f>VLOOKUP($B56,[1]郑商所raw!$B:$Z,16,0)</f>
        <v>3976.46</v>
      </c>
      <c r="U56" s="14">
        <f>IFERROR((VLOOKUP($B56,[1]郑商所raw!$B:$Z,17,0)/100),"-")</f>
        <v>-0.3552</v>
      </c>
      <c r="V56" s="26">
        <f t="shared" si="3"/>
        <v>0.00199359039755381</v>
      </c>
      <c r="W56" s="39">
        <f>VLOOKUP($B56,[1]郑商所raw!$B:$Z,18,0)</f>
        <v>145955</v>
      </c>
      <c r="X56" s="26">
        <f t="shared" si="4"/>
        <v>0.00473920261061211</v>
      </c>
      <c r="Y56" s="13">
        <f>VLOOKUP($B56,[1]郑商所raw!$B:$Z,19,0)</f>
        <v>132846</v>
      </c>
      <c r="Z56" s="43">
        <f>IFERROR((VLOOKUP($B56,[1]郑商所raw!$B:$Z,20,0)/100),"-")</f>
        <v>0.0987</v>
      </c>
    </row>
    <row r="57" customFormat="1" spans="1:26">
      <c r="A57" s="23"/>
      <c r="B57" s="30" t="s">
        <v>80</v>
      </c>
      <c r="C57" s="13">
        <f>VLOOKUP($B57,[1]郑商所raw!$B:$Z,2,0)</f>
        <v>32964947</v>
      </c>
      <c r="D57" s="13">
        <f>VLOOKUP($B57,[1]郑商所raw!$B:$Z,3,0)</f>
        <v>25663600</v>
      </c>
      <c r="E57" s="25">
        <f>IFERROR((VLOOKUP($B57,[1]郑商所raw!$B:$Z,4,0)/100),"-")</f>
        <v>0.2845</v>
      </c>
      <c r="F57" s="13">
        <f>VLOOKUP($B57,[1]郑商所raw!$B:$Z,5,0)</f>
        <v>22239379</v>
      </c>
      <c r="G57" s="14">
        <f>IFERROR((VLOOKUP($B57,[1]郑商所raw!$B:$Z,6,0)/100),"-")</f>
        <v>0.4823</v>
      </c>
      <c r="H57" s="26">
        <f t="shared" si="0"/>
        <v>0.0496885853158896</v>
      </c>
      <c r="I57" s="35">
        <f>VLOOKUP($B57,[1]郑商所raw!$B:$Z,7,0)</f>
        <v>17785.22</v>
      </c>
      <c r="J57" s="35">
        <f>VLOOKUP($B57,[1]郑商所raw!$B:$Z,8,0)</f>
        <v>9980.875</v>
      </c>
      <c r="K57" s="14">
        <f>IFERROR((VLOOKUP($B57,[1]郑商所raw!$B:$Z,9,0)/100),"-")</f>
        <v>0.7819</v>
      </c>
      <c r="L57" s="35">
        <f>VLOOKUP($B57,[1]郑商所raw!$B:$Z,10,0)</f>
        <v>12825.56</v>
      </c>
      <c r="M57" s="14">
        <f>IFERROR((VLOOKUP($B57,[1]郑商所raw!$B:$Z,11,0)/100),"-")</f>
        <v>0.3867</v>
      </c>
      <c r="N57" s="26">
        <f t="shared" si="1"/>
        <v>0.0312459769828213</v>
      </c>
      <c r="O57" s="13">
        <f>VLOOKUP($B57,[1]郑商所raw!$B:$Z,12,0)</f>
        <v>72062625</v>
      </c>
      <c r="P57" s="13">
        <f>VLOOKUP($B57,[1]郑商所raw!$B:$Z,13,0)</f>
        <v>41043606</v>
      </c>
      <c r="Q57" s="14">
        <f>IFERROR((VLOOKUP($B57,[1]郑商所raw!$B:$Z,14,0)/100),"-")</f>
        <v>0.7558</v>
      </c>
      <c r="R57" s="40">
        <f t="shared" si="2"/>
        <v>0.0469933701128291</v>
      </c>
      <c r="S57" s="35">
        <f>VLOOKUP($B57,[1]郑商所raw!$B:$Z,15,0)</f>
        <v>39247.43</v>
      </c>
      <c r="T57" s="35">
        <f>VLOOKUP($B57,[1]郑商所raw!$B:$Z,16,0)</f>
        <v>15000.135</v>
      </c>
      <c r="U57" s="14">
        <f>IFERROR((VLOOKUP($B57,[1]郑商所raw!$B:$Z,17,0)/100),"-")</f>
        <v>1.6165</v>
      </c>
      <c r="V57" s="26">
        <f t="shared" si="3"/>
        <v>0.0305167620899299</v>
      </c>
      <c r="W57" s="39">
        <f>VLOOKUP($B57,[1]郑商所raw!$B:$Z,18,0)</f>
        <v>790322</v>
      </c>
      <c r="X57" s="26">
        <f t="shared" si="4"/>
        <v>0.0256619922964214</v>
      </c>
      <c r="Y57" s="13">
        <f>VLOOKUP($B57,[1]郑商所raw!$B:$Z,19,0)</f>
        <v>745746</v>
      </c>
      <c r="Z57" s="43">
        <f>IFERROR((VLOOKUP($B57,[1]郑商所raw!$B:$Z,20,0)/100),"-")</f>
        <v>0.0598</v>
      </c>
    </row>
    <row r="58" customFormat="1" spans="1:26">
      <c r="A58" s="23"/>
      <c r="B58" s="30" t="s">
        <v>81</v>
      </c>
      <c r="C58" s="13">
        <f>VLOOKUP($B58,[1]郑商所raw!$B:$Z,2,0)</f>
        <v>5068884</v>
      </c>
      <c r="D58" s="13">
        <f>VLOOKUP($B58,[1]郑商所raw!$B:$Z,3,0)</f>
        <v>8454476</v>
      </c>
      <c r="E58" s="25">
        <f>IFERROR((VLOOKUP($B58,[1]郑商所raw!$B:$Z,4,0)/100),"-")</f>
        <v>-0.4004</v>
      </c>
      <c r="F58" s="13">
        <f>VLOOKUP($B58,[1]郑商所raw!$B:$Z,5,0)</f>
        <v>2853893</v>
      </c>
      <c r="G58" s="14">
        <f>IFERROR((VLOOKUP($B58,[1]郑商所raw!$B:$Z,6,0)/100),"-")</f>
        <v>0.7761</v>
      </c>
      <c r="H58" s="26">
        <f t="shared" si="0"/>
        <v>0.00764040891952132</v>
      </c>
      <c r="I58" s="35">
        <f>VLOOKUP($B58,[1]郑商所raw!$B:$Z,7,0)</f>
        <v>1994.42</v>
      </c>
      <c r="J58" s="35">
        <f>VLOOKUP($B58,[1]郑商所raw!$B:$Z,8,0)</f>
        <v>3157.82</v>
      </c>
      <c r="K58" s="14">
        <f>IFERROR((VLOOKUP($B58,[1]郑商所raw!$B:$Z,9,0)/100),"-")</f>
        <v>-0.3684</v>
      </c>
      <c r="L58" s="35">
        <f>VLOOKUP($B58,[1]郑商所raw!$B:$Z,10,0)</f>
        <v>1084.41</v>
      </c>
      <c r="M58" s="14">
        <f>IFERROR((VLOOKUP($B58,[1]郑商所raw!$B:$Z,11,0)/100),"-")</f>
        <v>0.8392</v>
      </c>
      <c r="N58" s="26">
        <f t="shared" si="1"/>
        <v>0.00350389826013276</v>
      </c>
      <c r="O58" s="13">
        <f>VLOOKUP($B58,[1]郑商所raw!$B:$Z,12,0)</f>
        <v>11426015</v>
      </c>
      <c r="P58" s="13">
        <f>VLOOKUP($B58,[1]郑商所raw!$B:$Z,13,0)</f>
        <v>14427554</v>
      </c>
      <c r="Q58" s="14">
        <f>IFERROR((VLOOKUP($B58,[1]郑商所raw!$B:$Z,14,0)/100),"-")</f>
        <v>-0.208</v>
      </c>
      <c r="R58" s="40">
        <f t="shared" si="2"/>
        <v>0.00745111563462665</v>
      </c>
      <c r="S58" s="35">
        <f>VLOOKUP($B58,[1]郑商所raw!$B:$Z,15,0)</f>
        <v>4372.335</v>
      </c>
      <c r="T58" s="35">
        <f>VLOOKUP($B58,[1]郑商所raw!$B:$Z,16,0)</f>
        <v>5302.345</v>
      </c>
      <c r="U58" s="14">
        <f>IFERROR((VLOOKUP($B58,[1]郑商所raw!$B:$Z,17,0)/100),"-")</f>
        <v>-0.1754</v>
      </c>
      <c r="V58" s="26">
        <f t="shared" si="3"/>
        <v>0.00339970048924156</v>
      </c>
      <c r="W58" s="39">
        <f>VLOOKUP($B58,[1]郑商所raw!$B:$Z,18,0)</f>
        <v>253156</v>
      </c>
      <c r="X58" s="26">
        <f t="shared" si="4"/>
        <v>0.00822005122189797</v>
      </c>
      <c r="Y58" s="13">
        <f>VLOOKUP($B58,[1]郑商所raw!$B:$Z,19,0)</f>
        <v>230823</v>
      </c>
      <c r="Z58" s="43">
        <f>IFERROR((VLOOKUP($B58,[1]郑商所raw!$B:$Z,20,0)/100),"-")</f>
        <v>0.0968</v>
      </c>
    </row>
    <row r="59" customFormat="1" spans="1:26">
      <c r="A59" s="23"/>
      <c r="B59" s="30" t="s">
        <v>82</v>
      </c>
      <c r="C59" s="13">
        <f>VLOOKUP($B59,[1]郑商所raw!$B:$Z,2,0)</f>
        <v>3044657</v>
      </c>
      <c r="D59" s="13">
        <f>VLOOKUP($B59,[1]郑商所raw!$B:$Z,3,0)</f>
        <v>445187</v>
      </c>
      <c r="E59" s="25">
        <f>IFERROR((VLOOKUP($B59,[1]郑商所raw!$B:$Z,4,0)/100),"-")</f>
        <v>5.8391</v>
      </c>
      <c r="F59" s="13">
        <f>VLOOKUP($B59,[1]郑商所raw!$B:$Z,5,0)</f>
        <v>2417505</v>
      </c>
      <c r="G59" s="14">
        <f>IFERROR((VLOOKUP($B59,[1]郑商所raw!$B:$Z,6,0)/100),"-")</f>
        <v>0.2594</v>
      </c>
      <c r="H59" s="26">
        <f t="shared" si="0"/>
        <v>0.00458925958843861</v>
      </c>
      <c r="I59" s="35">
        <f>VLOOKUP($B59,[1]郑商所raw!$B:$Z,7,0)</f>
        <v>1342.99</v>
      </c>
      <c r="J59" s="35">
        <f>VLOOKUP($B59,[1]郑商所raw!$B:$Z,8,0)</f>
        <v>241.78</v>
      </c>
      <c r="K59" s="14">
        <f>IFERROR((VLOOKUP($B59,[1]郑商所raw!$B:$Z,9,0)/100),"-")</f>
        <v>4.5546</v>
      </c>
      <c r="L59" s="35">
        <f>VLOOKUP($B59,[1]郑商所raw!$B:$Z,10,0)</f>
        <v>985.98</v>
      </c>
      <c r="M59" s="14">
        <f>IFERROR((VLOOKUP($B59,[1]郑商所raw!$B:$Z,11,0)/100),"-")</f>
        <v>0.3621</v>
      </c>
      <c r="N59" s="26">
        <f t="shared" si="1"/>
        <v>0.00235943298020261</v>
      </c>
      <c r="O59" s="13">
        <f>VLOOKUP($B59,[1]郑商所raw!$B:$Z,12,0)</f>
        <v>7891876</v>
      </c>
      <c r="P59" s="13">
        <f>VLOOKUP($B59,[1]郑商所raw!$B:$Z,13,0)</f>
        <v>2728177</v>
      </c>
      <c r="Q59" s="14">
        <f>IFERROR((VLOOKUP($B59,[1]郑商所raw!$B:$Z,14,0)/100),"-")</f>
        <v>1.8927</v>
      </c>
      <c r="R59" s="40">
        <f t="shared" si="2"/>
        <v>0.00514643825079302</v>
      </c>
      <c r="S59" s="35">
        <f>VLOOKUP($B59,[1]郑商所raw!$B:$Z,15,0)</f>
        <v>3300.555</v>
      </c>
      <c r="T59" s="35">
        <f>VLOOKUP($B59,[1]郑商所raw!$B:$Z,16,0)</f>
        <v>1432.81</v>
      </c>
      <c r="U59" s="14">
        <f>IFERROR((VLOOKUP($B59,[1]郑商所raw!$B:$Z,17,0)/100),"-")</f>
        <v>1.3036</v>
      </c>
      <c r="V59" s="26">
        <f t="shared" si="3"/>
        <v>0.00256634005588974</v>
      </c>
      <c r="W59" s="39">
        <f>VLOOKUP($B59,[1]郑商所raw!$B:$Z,18,0)</f>
        <v>77519</v>
      </c>
      <c r="X59" s="26">
        <f t="shared" si="4"/>
        <v>0.00251706517195053</v>
      </c>
      <c r="Y59" s="13">
        <f>VLOOKUP($B59,[1]郑商所raw!$B:$Z,19,0)</f>
        <v>183475</v>
      </c>
      <c r="Z59" s="43">
        <f>IFERROR((VLOOKUP($B59,[1]郑商所raw!$B:$Z,20,0)/100),"-")</f>
        <v>-0.5775</v>
      </c>
    </row>
    <row r="60" s="3" customFormat="1" spans="1:26">
      <c r="A60" s="23"/>
      <c r="B60" s="31" t="s">
        <v>85</v>
      </c>
      <c r="C60" s="16">
        <f>VLOOKUP($B60,[1]郑商所raw!$B:$Z,2,0)</f>
        <v>209239926</v>
      </c>
      <c r="D60" s="16">
        <f>VLOOKUP($B60,[1]郑商所raw!$B:$Z,3,0)</f>
        <v>280333390</v>
      </c>
      <c r="E60" s="32">
        <f>IFERROR((VLOOKUP($B60,[1]郑商所raw!$B:$Z,4,0)/100),"-")</f>
        <v>-0.2536</v>
      </c>
      <c r="F60" s="16">
        <f>VLOOKUP($B60,[1]郑商所raw!$B:$Z,5,0)</f>
        <v>137099163</v>
      </c>
      <c r="G60" s="17">
        <f>IFERROR((VLOOKUP($B60,[1]郑商所raw!$B:$Z,6,0)/100),"-")</f>
        <v>0.5262</v>
      </c>
      <c r="H60" s="33">
        <f t="shared" si="0"/>
        <v>0.315390645540593</v>
      </c>
      <c r="I60" s="36">
        <f>VLOOKUP($B60,[1]郑商所raw!$B:$Z,7,0)</f>
        <v>92021.525</v>
      </c>
      <c r="J60" s="36">
        <f>VLOOKUP($B60,[1]郑商所raw!$B:$Z,8,0)</f>
        <v>109073.54</v>
      </c>
      <c r="K60" s="17">
        <f>IFERROR((VLOOKUP($B60,[1]郑商所raw!$B:$Z,9,0)/100),"-")</f>
        <v>-0.1563</v>
      </c>
      <c r="L60" s="36">
        <f>VLOOKUP($B60,[1]郑商所raw!$B:$Z,10,0)</f>
        <v>61146.605</v>
      </c>
      <c r="M60" s="17">
        <f>IFERROR((VLOOKUP($B60,[1]郑商所raw!$B:$Z,11,0)/100),"-")</f>
        <v>0.5049</v>
      </c>
      <c r="N60" s="33">
        <f t="shared" si="1"/>
        <v>0.161668084627242</v>
      </c>
      <c r="O60" s="16">
        <f>VLOOKUP($B60,[1]郑商所raw!$B:$Z,12,0)</f>
        <v>490605040</v>
      </c>
      <c r="P60" s="16">
        <f>VLOOKUP($B60,[1]郑商所raw!$B:$Z,13,0)</f>
        <v>634001867</v>
      </c>
      <c r="Q60" s="17">
        <f>IFERROR((VLOOKUP($B60,[1]郑商所raw!$B:$Z,14,0)/100),"-")</f>
        <v>-0.2262</v>
      </c>
      <c r="R60" s="41">
        <f t="shared" si="2"/>
        <v>0.319932617274757</v>
      </c>
      <c r="S60" s="36">
        <f>VLOOKUP($B60,[1]郑商所raw!$B:$Z,15,0)</f>
        <v>213943.67</v>
      </c>
      <c r="T60" s="36">
        <f>VLOOKUP($B60,[1]郑商所raw!$B:$Z,16,0)</f>
        <v>240659.91</v>
      </c>
      <c r="U60" s="17">
        <f>IFERROR((VLOOKUP($B60,[1]郑商所raw!$B:$Z,17,0)/100),"-")</f>
        <v>-0.111</v>
      </c>
      <c r="V60" s="33">
        <f t="shared" si="3"/>
        <v>0.166351480288938</v>
      </c>
      <c r="W60" s="38">
        <f>VLOOKUP($B60,[1]郑商所raw!$B:$Z,18,0)</f>
        <v>9234093</v>
      </c>
      <c r="X60" s="33">
        <f t="shared" si="4"/>
        <v>0.299833768300058</v>
      </c>
      <c r="Y60" s="16">
        <f>VLOOKUP($B60,[1]郑商所raw!$B:$Z,19,0)</f>
        <v>9180422</v>
      </c>
      <c r="Z60" s="44">
        <f>IFERROR((VLOOKUP($B60,[1]郑商所raw!$B:$Z,20,0)/100),"-")</f>
        <v>0.0058</v>
      </c>
    </row>
    <row r="61" s="1" customFormat="1" spans="1:26">
      <c r="A61" s="11" t="s">
        <v>86</v>
      </c>
      <c r="B61" s="30" t="s">
        <v>87</v>
      </c>
      <c r="C61" s="13">
        <f>VLOOKUP($B61,[1]大商所raw!$B:$Z,2,0)</f>
        <v>3431400</v>
      </c>
      <c r="D61" s="13">
        <f>VLOOKUP($B61,[1]大商所raw!$B:$Z,3,0)</f>
        <v>4755970</v>
      </c>
      <c r="E61" s="14">
        <f>IFERROR((VLOOKUP($B61,[1]大商所raw!$B:$Z,4,0)/100),"-")</f>
        <v>-0.278506803028614</v>
      </c>
      <c r="F61" s="13">
        <f>VLOOKUP($B61,[1]大商所raw!$B:$Z,5,0)</f>
        <v>3301394</v>
      </c>
      <c r="G61" s="14">
        <f>IFERROR((VLOOKUP($B61,[1]大商所raw!$B:$Z,6,0)/100),"-")</f>
        <v>0.0393791228796079</v>
      </c>
      <c r="H61" s="14">
        <f t="shared" si="0"/>
        <v>0.00517220342119596</v>
      </c>
      <c r="I61" s="35">
        <f>VLOOKUP($B61,[1]大商所raw!$B:$Z,8,0)</f>
        <v>2127.4524468</v>
      </c>
      <c r="J61" s="35">
        <f>VLOOKUP($B61,[1]大商所raw!$B:$Z,9,0)</f>
        <v>2822.0462182</v>
      </c>
      <c r="K61" s="14">
        <f>IFERROR((VLOOKUP($B61,[1]大商所raw!$B:$Z,10,0)/100),"-")</f>
        <v>-0.246131252890336</v>
      </c>
      <c r="L61" s="35">
        <f>VLOOKUP($B61,[1]大商所raw!$B:$Z,11,0)</f>
        <v>2037.6512897</v>
      </c>
      <c r="M61" s="14">
        <f>IFERROR((VLOOKUP($B61,[1]大商所raw!$B:$Z,12,0)/100),"-")</f>
        <v>0.0440709151531131</v>
      </c>
      <c r="N61" s="19">
        <f t="shared" si="1"/>
        <v>0.00373761641322174</v>
      </c>
      <c r="O61" s="13">
        <f>VLOOKUP($B61,[1]大商所raw!$B:$Z,14,0)</f>
        <v>10348600</v>
      </c>
      <c r="P61" s="13">
        <f>VLOOKUP($B61,[1]大商所raw!$B:$Z,15,0)</f>
        <v>10850803</v>
      </c>
      <c r="Q61" s="14">
        <f>IFERROR((VLOOKUP($B61,[1]大商所raw!$B:$Z,16,0)/100),"-")</f>
        <v>-0.0462825654469996</v>
      </c>
      <c r="R61" s="19">
        <f t="shared" si="2"/>
        <v>0.00674851339303312</v>
      </c>
      <c r="S61" s="35">
        <f>VLOOKUP($B61,[1]大商所raw!$B:$Z,18,0)</f>
        <v>6309.426825</v>
      </c>
      <c r="T61" s="35">
        <f>VLOOKUP($B61,[1]大商所raw!$B:$Z,19,0)</f>
        <v>6333.8729327</v>
      </c>
      <c r="U61" s="14">
        <f>IFERROR((VLOOKUP($B61,[1]大商所raw!$B:$Z,20,0)/100),"-")</f>
        <v>-0.00385958290602761</v>
      </c>
      <c r="V61" s="19">
        <f t="shared" si="3"/>
        <v>0.00490588243210694</v>
      </c>
      <c r="W61" s="13">
        <f>VLOOKUP($B61,[1]大商所raw!$B:$Z,22,0)</f>
        <v>197585</v>
      </c>
      <c r="X61" s="19">
        <f t="shared" si="4"/>
        <v>0.00641564419045454</v>
      </c>
      <c r="Y61" s="13">
        <f>VLOOKUP($B61,[1]大商所raw!$B:$Z,24,0)</f>
        <v>169002</v>
      </c>
      <c r="Z61" s="43">
        <f>IFERROR((VLOOKUP($B61,[1]大商所raw!$B:$Z,25,0)/100),"-")</f>
        <v>0.169128175997917</v>
      </c>
    </row>
    <row r="62" s="1" customFormat="1" spans="1:26">
      <c r="A62" s="11"/>
      <c r="B62" s="30" t="s">
        <v>88</v>
      </c>
      <c r="C62" s="13">
        <f>VLOOKUP($B62,[1]大商所raw!$B:$Z,2,0)</f>
        <v>1654642</v>
      </c>
      <c r="D62" s="13">
        <f>VLOOKUP($B62,[1]大商所raw!$B:$Z,3,0)</f>
        <v>2160816</v>
      </c>
      <c r="E62" s="14">
        <f>IFERROR((VLOOKUP($B62,[1]大商所raw!$B:$Z,4,0)/100),"-")</f>
        <v>-0.234251319871752</v>
      </c>
      <c r="F62" s="13">
        <f>VLOOKUP($B62,[1]大商所raw!$B:$Z,5,0)</f>
        <v>1431359</v>
      </c>
      <c r="G62" s="14">
        <f>IFERROR((VLOOKUP($B62,[1]大商所raw!$B:$Z,6,0)/100),"-")</f>
        <v>0.155993709474702</v>
      </c>
      <c r="H62" s="14">
        <f t="shared" si="0"/>
        <v>0.00249406802274714</v>
      </c>
      <c r="I62" s="35">
        <f>VLOOKUP($B62,[1]大商所raw!$B:$Z,8,0)</f>
        <v>857.9478483</v>
      </c>
      <c r="J62" s="35">
        <f>VLOOKUP($B62,[1]大商所raw!$B:$Z,9,0)</f>
        <v>897.7399942</v>
      </c>
      <c r="K62" s="14">
        <f>IFERROR((VLOOKUP($B62,[1]大商所raw!$B:$Z,10,0)/100),"-")</f>
        <v>-0.0443248002284445</v>
      </c>
      <c r="L62" s="35">
        <f>VLOOKUP($B62,[1]大商所raw!$B:$Z,11,0)</f>
        <v>712.1089513</v>
      </c>
      <c r="M62" s="14">
        <f>IFERROR((VLOOKUP($B62,[1]大商所raw!$B:$Z,12,0)/100),"-")</f>
        <v>0.204798572934327</v>
      </c>
      <c r="N62" s="19">
        <f t="shared" si="1"/>
        <v>0.00150728631529117</v>
      </c>
      <c r="O62" s="13">
        <f>VLOOKUP($B62,[1]大商所raw!$B:$Z,14,0)</f>
        <v>4018180</v>
      </c>
      <c r="P62" s="13">
        <f>VLOOKUP($B62,[1]大商所raw!$B:$Z,15,0)</f>
        <v>5084917</v>
      </c>
      <c r="Q62" s="14">
        <f>IFERROR((VLOOKUP($B62,[1]大商所raw!$B:$Z,16,0)/100),"-")</f>
        <v>-0.209784545155801</v>
      </c>
      <c r="R62" s="19">
        <f t="shared" si="2"/>
        <v>0.00262032946926327</v>
      </c>
      <c r="S62" s="35">
        <f>VLOOKUP($B62,[1]大商所raw!$B:$Z,18,0)</f>
        <v>1974.6487162</v>
      </c>
      <c r="T62" s="35">
        <f>VLOOKUP($B62,[1]大商所raw!$B:$Z,19,0)</f>
        <v>2144.9174451</v>
      </c>
      <c r="U62" s="14">
        <f>IFERROR((VLOOKUP($B62,[1]大商所raw!$B:$Z,20,0)/100),"-")</f>
        <v>-0.0793824159941324</v>
      </c>
      <c r="V62" s="19">
        <f t="shared" si="3"/>
        <v>0.00153538422983265</v>
      </c>
      <c r="W62" s="13">
        <f>VLOOKUP($B62,[1]大商所raw!$B:$Z,22,0)</f>
        <v>38239</v>
      </c>
      <c r="X62" s="19">
        <f t="shared" si="4"/>
        <v>0.00124163179491759</v>
      </c>
      <c r="Y62" s="13">
        <f>VLOOKUP($B62,[1]大商所raw!$B:$Z,24,0)</f>
        <v>41756</v>
      </c>
      <c r="Z62" s="43">
        <f>IFERROR((VLOOKUP($B62,[1]大商所raw!$B:$Z,25,0)/100),"-")</f>
        <v>-0.0842274164191973</v>
      </c>
    </row>
    <row r="63" s="1" customFormat="1" spans="1:26">
      <c r="A63" s="11"/>
      <c r="B63" s="30" t="s">
        <v>89</v>
      </c>
      <c r="C63" s="13">
        <f>VLOOKUP($B63,[1]大商所raw!$B:$Z,2,0)</f>
        <v>14</v>
      </c>
      <c r="D63" s="13">
        <f>VLOOKUP($B63,[1]大商所raw!$B:$Z,3,0)</f>
        <v>0</v>
      </c>
      <c r="E63" s="14" t="str">
        <f>IFERROR((VLOOKUP($B63,[1]大商所raw!$B:$Z,4,0)/100),"-")</f>
        <v>-</v>
      </c>
      <c r="F63" s="13">
        <f>VLOOKUP($B63,[1]大商所raw!$B:$Z,5,0)</f>
        <v>0</v>
      </c>
      <c r="G63" s="14" t="str">
        <f>IFERROR((VLOOKUP($B63,[1]大商所raw!$B:$Z,6,0)/100),"-")</f>
        <v>-</v>
      </c>
      <c r="H63" s="14">
        <f t="shared" si="0"/>
        <v>2.11024211391104e-8</v>
      </c>
      <c r="I63" s="35">
        <f>VLOOKUP($B63,[1]大商所raw!$B:$Z,8,0)</f>
        <v>0.028332</v>
      </c>
      <c r="J63" s="35">
        <f>VLOOKUP($B63,[1]大商所raw!$B:$Z,9,0)</f>
        <v>0</v>
      </c>
      <c r="K63" s="14" t="str">
        <f>IFERROR((VLOOKUP($B63,[1]大商所raw!$B:$Z,10,0)/100),"-")</f>
        <v>-</v>
      </c>
      <c r="L63" s="35">
        <f>VLOOKUP($B63,[1]大商所raw!$B:$Z,11,0)</f>
        <v>0</v>
      </c>
      <c r="M63" s="14" t="str">
        <f>IFERROR((VLOOKUP($B63,[1]大商所raw!$B:$Z,12,0)/100),"-")</f>
        <v>-</v>
      </c>
      <c r="N63" s="19">
        <f t="shared" si="1"/>
        <v>4.97750952688408e-8</v>
      </c>
      <c r="O63" s="13">
        <f>VLOOKUP($B63,[1]大商所raw!$B:$Z,14,0)</f>
        <v>14</v>
      </c>
      <c r="P63" s="13">
        <f>VLOOKUP($B63,[1]大商所raw!$B:$Z,15,0)</f>
        <v>0</v>
      </c>
      <c r="Q63" s="14" t="str">
        <f>IFERROR((VLOOKUP($B63,[1]大商所raw!$B:$Z,16,0)/100),"-")</f>
        <v>-</v>
      </c>
      <c r="R63" s="19">
        <f t="shared" si="2"/>
        <v>9.12965884298009e-9</v>
      </c>
      <c r="S63" s="35">
        <f>VLOOKUP($B63,[1]大商所raw!$B:$Z,18,0)</f>
        <v>0.028332</v>
      </c>
      <c r="T63" s="35">
        <f>VLOOKUP($B63,[1]大商所raw!$B:$Z,19,0)</f>
        <v>0</v>
      </c>
      <c r="U63" s="14" t="str">
        <f>IFERROR((VLOOKUP($B63,[1]大商所raw!$B:$Z,20,0)/100),"-")</f>
        <v>-</v>
      </c>
      <c r="V63" s="19">
        <f t="shared" si="3"/>
        <v>2.2029490938181e-8</v>
      </c>
      <c r="W63" s="13">
        <f>VLOOKUP($B63,[1]大商所raw!$B:$Z,22,0)</f>
        <v>0</v>
      </c>
      <c r="X63" s="19">
        <f t="shared" si="4"/>
        <v>0</v>
      </c>
      <c r="Y63" s="13">
        <f>VLOOKUP($B63,[1]大商所raw!$B:$Z,24,0)</f>
        <v>0</v>
      </c>
      <c r="Z63" s="43" t="str">
        <f>IFERROR((VLOOKUP($B63,[1]大商所raw!$B:$Z,25,0)/100),"-")</f>
        <v>-</v>
      </c>
    </row>
    <row r="64" s="1" customFormat="1" spans="1:26">
      <c r="A64" s="11"/>
      <c r="B64" s="30" t="s">
        <v>90</v>
      </c>
      <c r="C64" s="13">
        <f>VLOOKUP($B64,[1]大商所raw!$B:$Z,2,0)</f>
        <v>15884251</v>
      </c>
      <c r="D64" s="13">
        <f>VLOOKUP($B64,[1]大商所raw!$B:$Z,3,0)</f>
        <v>19382934</v>
      </c>
      <c r="E64" s="14">
        <f>IFERROR((VLOOKUP($B64,[1]大商所raw!$B:$Z,4,0)/100),"-")</f>
        <v>-0.180503271589327</v>
      </c>
      <c r="F64" s="13">
        <f>VLOOKUP($B64,[1]大商所raw!$B:$Z,5,0)</f>
        <v>10781633</v>
      </c>
      <c r="G64" s="14">
        <f>IFERROR((VLOOKUP($B64,[1]大商所raw!$B:$Z,6,0)/100),"-")</f>
        <v>0.473269494519059</v>
      </c>
      <c r="H64" s="14">
        <f t="shared" si="0"/>
        <v>0.0239425824343811</v>
      </c>
      <c r="I64" s="35">
        <f>VLOOKUP($B64,[1]大商所raw!$B:$Z,8,0)</f>
        <v>4602.3622125</v>
      </c>
      <c r="J64" s="35">
        <f>VLOOKUP($B64,[1]大商所raw!$B:$Z,9,0)</f>
        <v>5259.4912258</v>
      </c>
      <c r="K64" s="14">
        <f>IFERROR((VLOOKUP($B64,[1]大商所raw!$B:$Z,10,0)/100),"-")</f>
        <v>-0.124941555197679</v>
      </c>
      <c r="L64" s="35">
        <f>VLOOKUP($B64,[1]大商所raw!$B:$Z,11,0)</f>
        <v>3011.9369069</v>
      </c>
      <c r="M64" s="14">
        <f>IFERROR((VLOOKUP($B64,[1]大商所raw!$B:$Z,12,0)/100),"-")</f>
        <v>0.528040710931401</v>
      </c>
      <c r="N64" s="19">
        <f t="shared" si="1"/>
        <v>0.0080856634755365</v>
      </c>
      <c r="O64" s="13">
        <f>VLOOKUP($B64,[1]大商所raw!$B:$Z,14,0)</f>
        <v>37408610</v>
      </c>
      <c r="P64" s="13">
        <f>VLOOKUP($B64,[1]大商所raw!$B:$Z,15,0)</f>
        <v>51257081</v>
      </c>
      <c r="Q64" s="14">
        <f>IFERROR((VLOOKUP($B64,[1]大商所raw!$B:$Z,16,0)/100),"-")</f>
        <v>-0.270176739092888</v>
      </c>
      <c r="R64" s="19">
        <f t="shared" si="2"/>
        <v>0.024394846220721</v>
      </c>
      <c r="S64" s="35">
        <f>VLOOKUP($B64,[1]大商所raw!$B:$Z,18,0)</f>
        <v>10536.6496822</v>
      </c>
      <c r="T64" s="35">
        <f>VLOOKUP($B64,[1]大商所raw!$B:$Z,19,0)</f>
        <v>14181.6850422</v>
      </c>
      <c r="U64" s="14">
        <f>IFERROR((VLOOKUP($B64,[1]大商所raw!$B:$Z,20,0)/100),"-")</f>
        <v>-0.257024137058014</v>
      </c>
      <c r="V64" s="19">
        <f t="shared" si="3"/>
        <v>0.00819275125980562</v>
      </c>
      <c r="W64" s="13">
        <f>VLOOKUP($B64,[1]大商所raw!$B:$Z,22,0)</f>
        <v>1798374</v>
      </c>
      <c r="X64" s="19">
        <f t="shared" si="4"/>
        <v>0.0583937429732242</v>
      </c>
      <c r="Y64" s="13">
        <f>VLOOKUP($B64,[1]大商所raw!$B:$Z,24,0)</f>
        <v>1804874</v>
      </c>
      <c r="Z64" s="43">
        <f>IFERROR((VLOOKUP($B64,[1]大商所raw!$B:$Z,25,0)/100),"-")</f>
        <v>-0.00360135943007656</v>
      </c>
    </row>
    <row r="65" s="1" customFormat="1" spans="1:26">
      <c r="A65" s="11"/>
      <c r="B65" s="30" t="s">
        <v>91</v>
      </c>
      <c r="C65" s="13">
        <f>VLOOKUP($B65,[1]大商所raw!$B:$Z,2,0)</f>
        <v>5738648</v>
      </c>
      <c r="D65" s="13">
        <f>VLOOKUP($B65,[1]大商所raw!$B:$Z,3,0)</f>
        <v>5393539</v>
      </c>
      <c r="E65" s="14">
        <f>IFERROR((VLOOKUP($B65,[1]大商所raw!$B:$Z,4,0)/100),"-")</f>
        <v>0.0639856316974809</v>
      </c>
      <c r="F65" s="13">
        <f>VLOOKUP($B65,[1]大商所raw!$B:$Z,5,0)</f>
        <v>3875521</v>
      </c>
      <c r="G65" s="14">
        <f>IFERROR((VLOOKUP($B65,[1]大商所raw!$B:$Z,6,0)/100),"-")</f>
        <v>0.48074233116012</v>
      </c>
      <c r="H65" s="14">
        <f t="shared" si="0"/>
        <v>0.00864995477607955</v>
      </c>
      <c r="I65" s="35">
        <f>VLOOKUP($B65,[1]大商所raw!$B:$Z,8,0)</f>
        <v>1955.699355</v>
      </c>
      <c r="J65" s="35">
        <f>VLOOKUP($B65,[1]大商所raw!$B:$Z,9,0)</f>
        <v>1745.6706971</v>
      </c>
      <c r="K65" s="14">
        <f>IFERROR((VLOOKUP($B65,[1]大商所raw!$B:$Z,10,0)/100),"-")</f>
        <v>0.120314019275749</v>
      </c>
      <c r="L65" s="35">
        <f>VLOOKUP($B65,[1]大商所raw!$B:$Z,11,0)</f>
        <v>1246.5613816</v>
      </c>
      <c r="M65" s="14">
        <f>IFERROR((VLOOKUP($B65,[1]大商所raw!$B:$Z,12,0)/100),"-")</f>
        <v>0.568875294764707</v>
      </c>
      <c r="N65" s="19">
        <f t="shared" si="1"/>
        <v>0.00343587186617025</v>
      </c>
      <c r="O65" s="13">
        <f>VLOOKUP($B65,[1]大商所raw!$B:$Z,14,0)</f>
        <v>13065247</v>
      </c>
      <c r="P65" s="13">
        <f>VLOOKUP($B65,[1]大商所raw!$B:$Z,15,0)</f>
        <v>12999603</v>
      </c>
      <c r="Q65" s="14">
        <f>IFERROR((VLOOKUP($B65,[1]大商所raw!$B:$Z,16,0)/100),"-")</f>
        <v>0.00504969267138389</v>
      </c>
      <c r="R65" s="19">
        <f t="shared" si="2"/>
        <v>0.00852008912923351</v>
      </c>
      <c r="S65" s="35">
        <f>VLOOKUP($B65,[1]大商所raw!$B:$Z,18,0)</f>
        <v>4275.1191626</v>
      </c>
      <c r="T65" s="35">
        <f>VLOOKUP($B65,[1]大商所raw!$B:$Z,19,0)</f>
        <v>4189.7687058</v>
      </c>
      <c r="U65" s="14">
        <f>IFERROR((VLOOKUP($B65,[1]大商所raw!$B:$Z,20,0)/100),"-")</f>
        <v>0.020371161940717</v>
      </c>
      <c r="V65" s="19">
        <f t="shared" si="3"/>
        <v>0.00332411050586407</v>
      </c>
      <c r="W65" s="13">
        <f>VLOOKUP($B65,[1]大商所raw!$B:$Z,22,0)</f>
        <v>360015</v>
      </c>
      <c r="X65" s="19">
        <f t="shared" si="4"/>
        <v>0.0116897949906445</v>
      </c>
      <c r="Y65" s="13">
        <f>VLOOKUP($B65,[1]大商所raw!$B:$Z,24,0)</f>
        <v>393209</v>
      </c>
      <c r="Z65" s="43">
        <f>IFERROR((VLOOKUP($B65,[1]大商所raw!$B:$Z,25,0)/100),"-")</f>
        <v>-0.0844182101630431</v>
      </c>
    </row>
    <row r="66" s="1" customFormat="1" spans="1:26">
      <c r="A66" s="11"/>
      <c r="B66" s="30" t="s">
        <v>92</v>
      </c>
      <c r="C66" s="13">
        <f>VLOOKUP($B66,[1]大商所raw!$B:$Z,2,0)</f>
        <v>5558645</v>
      </c>
      <c r="D66" s="13">
        <f>VLOOKUP($B66,[1]大商所raw!$B:$Z,3,0)</f>
        <v>8340800</v>
      </c>
      <c r="E66" s="14">
        <f>IFERROR((VLOOKUP($B66,[1]大商所raw!$B:$Z,4,0)/100),"-")</f>
        <v>-0.333559730481489</v>
      </c>
      <c r="F66" s="13">
        <f>VLOOKUP($B66,[1]大商所raw!$B:$Z,5,0)</f>
        <v>4109785</v>
      </c>
      <c r="G66" s="14">
        <f>IFERROR((VLOOKUP($B66,[1]大商所raw!$B:$Z,6,0)/100),"-")</f>
        <v>0.352539123092814</v>
      </c>
      <c r="H66" s="14">
        <f t="shared" si="0"/>
        <v>0.00837863341091503</v>
      </c>
      <c r="I66" s="35">
        <f>VLOOKUP($B66,[1]大商所raw!$B:$Z,8,0)</f>
        <v>2719.7340447</v>
      </c>
      <c r="J66" s="35">
        <f>VLOOKUP($B66,[1]大商所raw!$B:$Z,9,0)</f>
        <v>3686.89712385</v>
      </c>
      <c r="K66" s="14">
        <f>IFERROR((VLOOKUP($B66,[1]大商所raw!$B:$Z,10,0)/100),"-")</f>
        <v>-0.262324400888097</v>
      </c>
      <c r="L66" s="35">
        <f>VLOOKUP($B66,[1]大商所raw!$B:$Z,11,0)</f>
        <v>1872.4675287</v>
      </c>
      <c r="M66" s="14">
        <f>IFERROR((VLOOKUP($B66,[1]大商所raw!$B:$Z,12,0)/100),"-")</f>
        <v>0.452486626877975</v>
      </c>
      <c r="N66" s="19">
        <f t="shared" si="1"/>
        <v>0.00477816677893732</v>
      </c>
      <c r="O66" s="13">
        <f>VLOOKUP($B66,[1]大商所raw!$B:$Z,14,0)</f>
        <v>15350286</v>
      </c>
      <c r="P66" s="13">
        <f>VLOOKUP($B66,[1]大商所raw!$B:$Z,15,0)</f>
        <v>22759981</v>
      </c>
      <c r="Q66" s="14">
        <f>IFERROR((VLOOKUP($B66,[1]大商所raw!$B:$Z,16,0)/100),"-")</f>
        <v>-0.325558048576578</v>
      </c>
      <c r="R66" s="19">
        <f t="shared" si="2"/>
        <v>0.0100102053087267</v>
      </c>
      <c r="S66" s="35">
        <f>VLOOKUP($B66,[1]大商所raw!$B:$Z,18,0)</f>
        <v>7046.4596213</v>
      </c>
      <c r="T66" s="35">
        <f>VLOOKUP($B66,[1]大商所raw!$B:$Z,19,0)</f>
        <v>9249.4175827</v>
      </c>
      <c r="U66" s="14">
        <f>IFERROR((VLOOKUP($B66,[1]大商所raw!$B:$Z,20,0)/100),"-")</f>
        <v>-0.238172613756826</v>
      </c>
      <c r="V66" s="19">
        <f t="shared" si="3"/>
        <v>0.0054789608348753</v>
      </c>
      <c r="W66" s="13">
        <f>VLOOKUP($B66,[1]大商所raw!$B:$Z,22,0)</f>
        <v>183024</v>
      </c>
      <c r="X66" s="19">
        <f t="shared" si="4"/>
        <v>0.00594284415473721</v>
      </c>
      <c r="Y66" s="13">
        <f>VLOOKUP($B66,[1]大商所raw!$B:$Z,24,0)</f>
        <v>188312</v>
      </c>
      <c r="Z66" s="43">
        <f>IFERROR((VLOOKUP($B66,[1]大商所raw!$B:$Z,25,0)/100),"-")</f>
        <v>-0.028081056969285</v>
      </c>
    </row>
    <row r="67" s="1" customFormat="1" spans="1:26">
      <c r="A67" s="11"/>
      <c r="B67" s="30" t="s">
        <v>93</v>
      </c>
      <c r="C67" s="13">
        <f>VLOOKUP($B67,[1]大商所raw!$B:$Z,2,0)</f>
        <v>11232433</v>
      </c>
      <c r="D67" s="13">
        <f>VLOOKUP($B67,[1]大商所raw!$B:$Z,3,0)</f>
        <v>16739905</v>
      </c>
      <c r="E67" s="14">
        <f>IFERROR((VLOOKUP($B67,[1]大商所raw!$B:$Z,4,0)/100),"-")</f>
        <v>-0.329002583945369</v>
      </c>
      <c r="F67" s="13">
        <f>VLOOKUP($B67,[1]大商所raw!$B:$Z,5,0)</f>
        <v>6535773</v>
      </c>
      <c r="G67" s="14">
        <f>IFERROR((VLOOKUP($B67,[1]大商所raw!$B:$Z,6,0)/100),"-")</f>
        <v>0.718608189115503</v>
      </c>
      <c r="H67" s="14">
        <f t="shared" ref="H67:H98" si="5">IFERROR((C67/$C$99),"-")</f>
        <v>0.0169308236844887</v>
      </c>
      <c r="I67" s="35">
        <f>VLOOKUP($B67,[1]大商所raw!$B:$Z,8,0)</f>
        <v>5979.3042316</v>
      </c>
      <c r="J67" s="35">
        <f>VLOOKUP($B67,[1]大商所raw!$B:$Z,9,0)</f>
        <v>9000.902151</v>
      </c>
      <c r="K67" s="14">
        <f>IFERROR((VLOOKUP($B67,[1]大商所raw!$B:$Z,10,0)/100),"-")</f>
        <v>-0.335699451978189</v>
      </c>
      <c r="L67" s="35">
        <f>VLOOKUP($B67,[1]大商所raw!$B:$Z,11,0)</f>
        <v>3391.9219152</v>
      </c>
      <c r="M67" s="14">
        <f>IFERROR((VLOOKUP($B67,[1]大商所raw!$B:$Z,12,0)/100),"-")</f>
        <v>0.76280715803195</v>
      </c>
      <c r="N67" s="19">
        <f t="shared" ref="N67:N98" si="6">IFERROR((I67/$I$99),"-")</f>
        <v>0.0105047450857431</v>
      </c>
      <c r="O67" s="13">
        <f>VLOOKUP($B67,[1]大商所raw!$B:$Z,14,0)</f>
        <v>25493188</v>
      </c>
      <c r="P67" s="13">
        <f>VLOOKUP($B67,[1]大商所raw!$B:$Z,15,0)</f>
        <v>32160009</v>
      </c>
      <c r="Q67" s="14">
        <f>IFERROR((VLOOKUP($B67,[1]大商所raw!$B:$Z,16,0)/100),"-")</f>
        <v>-0.207301589996446</v>
      </c>
      <c r="R67" s="19">
        <f t="shared" ref="R67:R98" si="7">IFERROR((O67/$O$99),"-")</f>
        <v>0.0166245792328538</v>
      </c>
      <c r="S67" s="35">
        <f>VLOOKUP($B67,[1]大商所raw!$B:$Z,18,0)</f>
        <v>13430.4637088</v>
      </c>
      <c r="T67" s="35">
        <f>VLOOKUP($B67,[1]大商所raw!$B:$Z,19,0)</f>
        <v>16426.8316236</v>
      </c>
      <c r="U67" s="14">
        <f>IFERROR((VLOOKUP($B67,[1]大商所raw!$B:$Z,20,0)/100),"-")</f>
        <v>-0.182406929312844</v>
      </c>
      <c r="V67" s="19">
        <f t="shared" ref="V67:V98" si="8">IFERROR((S67/$S$99),"-")</f>
        <v>0.0104428306709226</v>
      </c>
      <c r="W67" s="13">
        <f>VLOOKUP($B67,[1]大商所raw!$B:$Z,22,0)</f>
        <v>450137</v>
      </c>
      <c r="X67" s="19">
        <f t="shared" ref="X67:X98" si="9">IFERROR((W67/$W$99),"-")</f>
        <v>0.0146160833512596</v>
      </c>
      <c r="Y67" s="13">
        <f>VLOOKUP($B67,[1]大商所raw!$B:$Z,24,0)</f>
        <v>513596</v>
      </c>
      <c r="Z67" s="43">
        <f>IFERROR((VLOOKUP($B67,[1]大商所raw!$B:$Z,25,0)/100),"-")</f>
        <v>-0.123558205281973</v>
      </c>
    </row>
    <row r="68" s="1" customFormat="1" spans="1:26">
      <c r="A68" s="11"/>
      <c r="B68" s="30" t="s">
        <v>94</v>
      </c>
      <c r="C68" s="13">
        <f>VLOOKUP($B68,[1]大商所raw!$B:$Z,2,0)</f>
        <v>51678</v>
      </c>
      <c r="D68" s="13">
        <f>VLOOKUP($B68,[1]大商所raw!$B:$Z,3,0)</f>
        <v>333874</v>
      </c>
      <c r="E68" s="14">
        <f>IFERROR((VLOOKUP($B68,[1]大商所raw!$B:$Z,4,0)/100),"-")</f>
        <v>-0.845217057932034</v>
      </c>
      <c r="F68" s="13">
        <f>VLOOKUP($B68,[1]大商所raw!$B:$Z,5,0)</f>
        <v>31506</v>
      </c>
      <c r="G68" s="14">
        <f>IFERROR((VLOOKUP($B68,[1]大商所raw!$B:$Z,6,0)/100),"-")</f>
        <v>0.640258998286041</v>
      </c>
      <c r="H68" s="14">
        <f t="shared" si="5"/>
        <v>7.78950656876391e-5</v>
      </c>
      <c r="I68" s="35">
        <f>VLOOKUP($B68,[1]大商所raw!$B:$Z,8,0)</f>
        <v>7.20037575</v>
      </c>
      <c r="J68" s="35">
        <f>VLOOKUP($B68,[1]大商所raw!$B:$Z,9,0)</f>
        <v>47.4322162</v>
      </c>
      <c r="K68" s="14">
        <f>IFERROR((VLOOKUP($B68,[1]大商所raw!$B:$Z,10,0)/100),"-")</f>
        <v>-0.848196514376657</v>
      </c>
      <c r="L68" s="35">
        <f>VLOOKUP($B68,[1]大商所raw!$B:$Z,11,0)</f>
        <v>4.04909725</v>
      </c>
      <c r="M68" s="14">
        <f>IFERROR((VLOOKUP($B68,[1]大商所raw!$B:$Z,12,0)/100),"-")</f>
        <v>0.778266933450413</v>
      </c>
      <c r="N68" s="19">
        <f t="shared" si="6"/>
        <v>1.26499854908831e-5</v>
      </c>
      <c r="O68" s="13">
        <f>VLOOKUP($B68,[1]大商所raw!$B:$Z,14,0)</f>
        <v>130251</v>
      </c>
      <c r="P68" s="13">
        <f>VLOOKUP($B68,[1]大商所raw!$B:$Z,15,0)</f>
        <v>444045</v>
      </c>
      <c r="Q68" s="14">
        <f>IFERROR((VLOOKUP($B68,[1]大商所raw!$B:$Z,16,0)/100),"-")</f>
        <v>-0.706671621119481</v>
      </c>
      <c r="R68" s="19">
        <f t="shared" si="7"/>
        <v>8.49390852826428e-5</v>
      </c>
      <c r="S68" s="35">
        <f>VLOOKUP($B68,[1]大商所raw!$B:$Z,18,0)</f>
        <v>17.37296935</v>
      </c>
      <c r="T68" s="35">
        <f>VLOOKUP($B68,[1]大商所raw!$B:$Z,19,0)</f>
        <v>61.5643807</v>
      </c>
      <c r="U68" s="14">
        <f>IFERROR((VLOOKUP($B68,[1]大商所raw!$B:$Z,20,0)/100),"-")</f>
        <v>-0.717808103444465</v>
      </c>
      <c r="V68" s="19">
        <f t="shared" si="8"/>
        <v>1.35083181866837e-5</v>
      </c>
      <c r="W68" s="13">
        <f>VLOOKUP($B68,[1]大商所raw!$B:$Z,22,0)</f>
        <v>2686</v>
      </c>
      <c r="X68" s="19">
        <f t="shared" si="9"/>
        <v>8.72152253235868e-5</v>
      </c>
      <c r="Y68" s="13">
        <f>VLOOKUP($B68,[1]大商所raw!$B:$Z,24,0)</f>
        <v>1551</v>
      </c>
      <c r="Z68" s="43">
        <f>IFERROR((VLOOKUP($B68,[1]大商所raw!$B:$Z,25,0)/100),"-")</f>
        <v>0.731785944551902</v>
      </c>
    </row>
    <row r="69" s="1" customFormat="1" spans="1:26">
      <c r="A69" s="11"/>
      <c r="B69" s="30" t="s">
        <v>95</v>
      </c>
      <c r="C69" s="13">
        <f>VLOOKUP($B69,[1]大商所raw!$B:$Z,2,0)</f>
        <v>21308582</v>
      </c>
      <c r="D69" s="13">
        <f>VLOOKUP($B69,[1]大商所raw!$B:$Z,3,0)</f>
        <v>12237904</v>
      </c>
      <c r="E69" s="14">
        <f>IFERROR((VLOOKUP($B69,[1]大商所raw!$B:$Z,4,0)/100),"-")</f>
        <v>0.741195387706915</v>
      </c>
      <c r="F69" s="13">
        <f>VLOOKUP($B69,[1]大商所raw!$B:$Z,5,0)</f>
        <v>15510960</v>
      </c>
      <c r="G69" s="14">
        <f>IFERROR((VLOOKUP($B69,[1]大商所raw!$B:$Z,6,0)/100),"-")</f>
        <v>0.373775833346228</v>
      </c>
      <c r="H69" s="14">
        <f t="shared" si="5"/>
        <v>0.0321187622315191</v>
      </c>
      <c r="I69" s="35">
        <f>VLOOKUP($B69,[1]大商所raw!$B:$Z,8,0)</f>
        <v>17279.006476</v>
      </c>
      <c r="J69" s="35">
        <f>VLOOKUP($B69,[1]大商所raw!$B:$Z,9,0)</f>
        <v>12649.5658805</v>
      </c>
      <c r="K69" s="14">
        <f>IFERROR((VLOOKUP($B69,[1]大商所raw!$B:$Z,10,0)/100),"-")</f>
        <v>0.365976242918861</v>
      </c>
      <c r="L69" s="35">
        <f>VLOOKUP($B69,[1]大商所raw!$B:$Z,11,0)</f>
        <v>11385.4694665</v>
      </c>
      <c r="M69" s="14">
        <f>IFERROR((VLOOKUP($B69,[1]大商所raw!$B:$Z,12,0)/100),"-")</f>
        <v>0.517636714659929</v>
      </c>
      <c r="N69" s="19">
        <f t="shared" si="6"/>
        <v>0.0303566353767407</v>
      </c>
      <c r="O69" s="13">
        <f>VLOOKUP($B69,[1]大商所raw!$B:$Z,14,0)</f>
        <v>52149664</v>
      </c>
      <c r="P69" s="13">
        <f>VLOOKUP($B69,[1]大商所raw!$B:$Z,15,0)</f>
        <v>27322735</v>
      </c>
      <c r="Q69" s="14">
        <f>IFERROR((VLOOKUP($B69,[1]大商所raw!$B:$Z,16,0)/100),"-")</f>
        <v>0.908654605770616</v>
      </c>
      <c r="R69" s="19">
        <f t="shared" si="7"/>
        <v>0.0340077600782886</v>
      </c>
      <c r="S69" s="35">
        <f>VLOOKUP($B69,[1]大商所raw!$B:$Z,18,0)</f>
        <v>39828.6905145</v>
      </c>
      <c r="T69" s="35">
        <f>VLOOKUP($B69,[1]大商所raw!$B:$Z,19,0)</f>
        <v>28343.7133925</v>
      </c>
      <c r="U69" s="14">
        <f>IFERROR((VLOOKUP($B69,[1]大商所raw!$B:$Z,20,0)/100),"-")</f>
        <v>0.405203685309598</v>
      </c>
      <c r="V69" s="19">
        <f t="shared" si="8"/>
        <v>0.0309687200610191</v>
      </c>
      <c r="W69" s="13">
        <f>VLOOKUP($B69,[1]大商所raw!$B:$Z,22,0)</f>
        <v>1021951</v>
      </c>
      <c r="X69" s="19">
        <f t="shared" si="9"/>
        <v>0.0331830553740376</v>
      </c>
      <c r="Y69" s="13">
        <f>VLOOKUP($B69,[1]大商所raw!$B:$Z,24,0)</f>
        <v>982392</v>
      </c>
      <c r="Z69" s="43">
        <f>IFERROR((VLOOKUP($B69,[1]大商所raw!$B:$Z,25,0)/100),"-")</f>
        <v>0.0402680396420165</v>
      </c>
    </row>
    <row r="70" s="1" customFormat="1" spans="1:26">
      <c r="A70" s="11"/>
      <c r="B70" s="30" t="s">
        <v>96</v>
      </c>
      <c r="C70" s="13">
        <f>VLOOKUP($B70,[1]大商所raw!$B:$Z,2,0)</f>
        <v>761641</v>
      </c>
      <c r="D70" s="13">
        <f>VLOOKUP($B70,[1]大商所raw!$B:$Z,3,0)</f>
        <v>6656263</v>
      </c>
      <c r="E70" s="14">
        <f>IFERROR((VLOOKUP($B70,[1]大商所raw!$B:$Z,4,0)/100),"-")</f>
        <v>-0.885575284510242</v>
      </c>
      <c r="F70" s="13">
        <f>VLOOKUP($B70,[1]大商所raw!$B:$Z,5,0)</f>
        <v>643139</v>
      </c>
      <c r="G70" s="14">
        <f>IFERROR((VLOOKUP($B70,[1]大商所raw!$B:$Z,6,0)/100),"-")</f>
        <v>0.184255658574585</v>
      </c>
      <c r="H70" s="14">
        <f t="shared" si="5"/>
        <v>0.00114803350991523</v>
      </c>
      <c r="I70" s="35">
        <f>VLOOKUP($B70,[1]大商所raw!$B:$Z,8,0)</f>
        <v>2755.3146135</v>
      </c>
      <c r="J70" s="35">
        <f>VLOOKUP($B70,[1]大商所raw!$B:$Z,9,0)</f>
        <v>15335.208893</v>
      </c>
      <c r="K70" s="14">
        <f>IFERROR((VLOOKUP($B70,[1]大商所raw!$B:$Z,10,0)/100),"-")</f>
        <v>-0.820327546059206</v>
      </c>
      <c r="L70" s="35">
        <f>VLOOKUP($B70,[1]大商所raw!$B:$Z,11,0)</f>
        <v>2065.9570425</v>
      </c>
      <c r="M70" s="14">
        <f>IFERROR((VLOOKUP($B70,[1]大商所raw!$B:$Z,12,0)/100),"-")</f>
        <v>0.333674687720425</v>
      </c>
      <c r="N70" s="19">
        <f t="shared" si="6"/>
        <v>0.00484067652769277</v>
      </c>
      <c r="O70" s="13">
        <f>VLOOKUP($B70,[1]大商所raw!$B:$Z,14,0)</f>
        <v>2077557</v>
      </c>
      <c r="P70" s="13">
        <f>VLOOKUP($B70,[1]大商所raw!$B:$Z,15,0)</f>
        <v>16922152</v>
      </c>
      <c r="Q70" s="14">
        <f>IFERROR((VLOOKUP($B70,[1]大商所raw!$B:$Z,16,0)/100),"-")</f>
        <v>-0.87722855816447</v>
      </c>
      <c r="R70" s="19">
        <f t="shared" si="7"/>
        <v>0.00135481333120323</v>
      </c>
      <c r="S70" s="35">
        <f>VLOOKUP($B70,[1]大商所raw!$B:$Z,18,0)</f>
        <v>6870.540831</v>
      </c>
      <c r="T70" s="35">
        <f>VLOOKUP($B70,[1]大商所raw!$B:$Z,19,0)</f>
        <v>43253.2923755</v>
      </c>
      <c r="U70" s="14">
        <f>IFERROR((VLOOKUP($B70,[1]大商所raw!$B:$Z,20,0)/100),"-")</f>
        <v>-0.841155656513868</v>
      </c>
      <c r="V70" s="19">
        <f t="shared" si="8"/>
        <v>0.00534217552509238</v>
      </c>
      <c r="W70" s="13">
        <f>VLOOKUP($B70,[1]大商所raw!$B:$Z,22,0)</f>
        <v>37136</v>
      </c>
      <c r="X70" s="19">
        <f t="shared" si="9"/>
        <v>0.00120581705421322</v>
      </c>
      <c r="Y70" s="13">
        <f>VLOOKUP($B70,[1]大商所raw!$B:$Z,24,0)</f>
        <v>36037</v>
      </c>
      <c r="Z70" s="43">
        <f>IFERROR((VLOOKUP($B70,[1]大商所raw!$B:$Z,25,0)/100),"-")</f>
        <v>0.0304964342203846</v>
      </c>
    </row>
    <row r="71" s="1" customFormat="1" spans="1:26">
      <c r="A71" s="11"/>
      <c r="B71" s="30" t="s">
        <v>97</v>
      </c>
      <c r="C71" s="13">
        <f>VLOOKUP($B71,[1]大商所raw!$B:$Z,2,0)</f>
        <v>2456699</v>
      </c>
      <c r="D71" s="13">
        <f>VLOOKUP($B71,[1]大商所raw!$B:$Z,3,0)</f>
        <v>8513475</v>
      </c>
      <c r="E71" s="14">
        <f>IFERROR((VLOOKUP($B71,[1]大商所raw!$B:$Z,4,0)/100),"-")</f>
        <v>-0.711434050138163</v>
      </c>
      <c r="F71" s="13">
        <f>VLOOKUP($B71,[1]大商所raw!$B:$Z,5,0)</f>
        <v>1607141</v>
      </c>
      <c r="G71" s="14">
        <f>IFERROR((VLOOKUP($B71,[1]大商所raw!$B:$Z,6,0)/100),"-")</f>
        <v>0.528614477510063</v>
      </c>
      <c r="H71" s="14">
        <f t="shared" si="5"/>
        <v>0.00370302120785939</v>
      </c>
      <c r="I71" s="35">
        <f>VLOOKUP($B71,[1]大商所raw!$B:$Z,8,0)</f>
        <v>1085.9569524</v>
      </c>
      <c r="J71" s="35">
        <f>VLOOKUP($B71,[1]大商所raw!$B:$Z,9,0)</f>
        <v>3790.325482</v>
      </c>
      <c r="K71" s="14">
        <f>IFERROR((VLOOKUP($B71,[1]大商所raw!$B:$Z,10,0)/100),"-")</f>
        <v>-0.713492427614162</v>
      </c>
      <c r="L71" s="35">
        <f>VLOOKUP($B71,[1]大商所raw!$B:$Z,11,0)</f>
        <v>687.9614249</v>
      </c>
      <c r="M71" s="14">
        <f>IFERROR((VLOOKUP($B71,[1]大商所raw!$B:$Z,12,0)/100),"-")</f>
        <v>0.5785143077722</v>
      </c>
      <c r="N71" s="19">
        <f t="shared" si="6"/>
        <v>0.00190786427938621</v>
      </c>
      <c r="O71" s="13">
        <f>VLOOKUP($B71,[1]大商所raw!$B:$Z,14,0)</f>
        <v>6415795</v>
      </c>
      <c r="P71" s="13">
        <f>VLOOKUP($B71,[1]大商所raw!$B:$Z,15,0)</f>
        <v>23210072</v>
      </c>
      <c r="Q71" s="14">
        <f>IFERROR((VLOOKUP($B71,[1]大商所raw!$B:$Z,16,0)/100),"-")</f>
        <v>-0.723577117727166</v>
      </c>
      <c r="R71" s="19">
        <f t="shared" si="7"/>
        <v>0.00418385853974982</v>
      </c>
      <c r="S71" s="35">
        <f>VLOOKUP($B71,[1]大商所raw!$B:$Z,18,0)</f>
        <v>2736.4086634</v>
      </c>
      <c r="T71" s="35">
        <f>VLOOKUP($B71,[1]大商所raw!$B:$Z,19,0)</f>
        <v>10235.5674233</v>
      </c>
      <c r="U71" s="14">
        <f>IFERROR((VLOOKUP($B71,[1]大商所raw!$B:$Z,20,0)/100),"-")</f>
        <v>-0.732656866958748</v>
      </c>
      <c r="V71" s="19">
        <f t="shared" si="8"/>
        <v>0.00212768918020367</v>
      </c>
      <c r="W71" s="13">
        <f>VLOOKUP($B71,[1]大商所raw!$B:$Z,22,0)</f>
        <v>169221</v>
      </c>
      <c r="X71" s="19">
        <f t="shared" si="9"/>
        <v>0.00549465660628544</v>
      </c>
      <c r="Y71" s="13">
        <f>VLOOKUP($B71,[1]大商所raw!$B:$Z,24,0)</f>
        <v>223894</v>
      </c>
      <c r="Z71" s="43">
        <f>IFERROR((VLOOKUP($B71,[1]大商所raw!$B:$Z,25,0)/100),"-")</f>
        <v>-0.244191447738662</v>
      </c>
    </row>
    <row r="72" s="1" customFormat="1" spans="1:26">
      <c r="A72" s="11"/>
      <c r="B72" s="30" t="s">
        <v>98</v>
      </c>
      <c r="C72" s="13">
        <f>VLOOKUP($B72,[1]大商所raw!$B:$Z,2,0)</f>
        <v>1314943</v>
      </c>
      <c r="D72" s="13">
        <f>VLOOKUP($B72,[1]大商所raw!$B:$Z,3,0)</f>
        <v>5348170</v>
      </c>
      <c r="E72" s="14">
        <f>IFERROR((VLOOKUP($B72,[1]大商所raw!$B:$Z,4,0)/100),"-")</f>
        <v>-0.754132161094356</v>
      </c>
      <c r="F72" s="13">
        <f>VLOOKUP($B72,[1]大商所raw!$B:$Z,5,0)</f>
        <v>881498</v>
      </c>
      <c r="G72" s="14">
        <f>IFERROR((VLOOKUP($B72,[1]大商所raw!$B:$Z,6,0)/100),"-")</f>
        <v>0.491714104853329</v>
      </c>
      <c r="H72" s="14">
        <f t="shared" si="5"/>
        <v>0.00198203435428038</v>
      </c>
      <c r="I72" s="35">
        <f>VLOOKUP($B72,[1]大商所raw!$B:$Z,8,0)</f>
        <v>2341.2980028</v>
      </c>
      <c r="J72" s="35">
        <f>VLOOKUP($B72,[1]大商所raw!$B:$Z,9,0)</f>
        <v>4929.155271</v>
      </c>
      <c r="K72" s="14">
        <f>IFERROR((VLOOKUP($B72,[1]大商所raw!$B:$Z,10,0)/100),"-")</f>
        <v>-0.52501029606945</v>
      </c>
      <c r="L72" s="35">
        <f>VLOOKUP($B72,[1]大商所raw!$B:$Z,11,0)</f>
        <v>1318.4741874</v>
      </c>
      <c r="M72" s="14">
        <f>IFERROR((VLOOKUP($B72,[1]大商所raw!$B:$Z,12,0)/100),"-")</f>
        <v>0.775763246011653</v>
      </c>
      <c r="N72" s="19">
        <f t="shared" si="6"/>
        <v>0.00411331113730469</v>
      </c>
      <c r="O72" s="13">
        <f>VLOOKUP($B72,[1]大商所raw!$B:$Z,14,0)</f>
        <v>3043574</v>
      </c>
      <c r="P72" s="13">
        <f>VLOOKUP($B72,[1]大商所raw!$B:$Z,15,0)</f>
        <v>13056928</v>
      </c>
      <c r="Q72" s="14">
        <f>IFERROR((VLOOKUP($B72,[1]大商所raw!$B:$Z,16,0)/100),"-")</f>
        <v>-0.76689968727713</v>
      </c>
      <c r="R72" s="19">
        <f t="shared" si="7"/>
        <v>0.00198477087738316</v>
      </c>
      <c r="S72" s="35">
        <f>VLOOKUP($B72,[1]大商所raw!$B:$Z,18,0)</f>
        <v>4816.0000188</v>
      </c>
      <c r="T72" s="35">
        <f>VLOOKUP($B72,[1]大商所raw!$B:$Z,19,0)</f>
        <v>12395.8880985</v>
      </c>
      <c r="U72" s="14">
        <f>IFERROR((VLOOKUP($B72,[1]大商所raw!$B:$Z,20,0)/100),"-")</f>
        <v>-0.611484067899679</v>
      </c>
      <c r="V72" s="19">
        <f t="shared" si="8"/>
        <v>0.00374467135297311</v>
      </c>
      <c r="W72" s="13">
        <f>VLOOKUP($B72,[1]大商所raw!$B:$Z,22,0)</f>
        <v>59481</v>
      </c>
      <c r="X72" s="19">
        <f t="shared" si="9"/>
        <v>0.00193136590374991</v>
      </c>
      <c r="Y72" s="13">
        <f>VLOOKUP($B72,[1]大商所raw!$B:$Z,24,0)</f>
        <v>50353</v>
      </c>
      <c r="Z72" s="43">
        <f>IFERROR((VLOOKUP($B72,[1]大商所raw!$B:$Z,25,0)/100),"-")</f>
        <v>0.181280162055885</v>
      </c>
    </row>
    <row r="73" s="1" customFormat="1" spans="1:26">
      <c r="A73" s="11"/>
      <c r="B73" s="30" t="s">
        <v>99</v>
      </c>
      <c r="C73" s="13">
        <f>VLOOKUP($B73,[1]大商所raw!$B:$Z,2,0)</f>
        <v>14416752</v>
      </c>
      <c r="D73" s="13">
        <f>VLOOKUP($B73,[1]大商所raw!$B:$Z,3,0)</f>
        <v>15039995</v>
      </c>
      <c r="E73" s="14">
        <f>IFERROR((VLOOKUP($B73,[1]大商所raw!$B:$Z,4,0)/100),"-")</f>
        <v>-0.0414390430315967</v>
      </c>
      <c r="F73" s="13">
        <f>VLOOKUP($B73,[1]大商所raw!$B:$Z,5,0)</f>
        <v>10017038</v>
      </c>
      <c r="G73" s="14">
        <f>IFERROR((VLOOKUP($B73,[1]大商所raw!$B:$Z,6,0)/100),"-")</f>
        <v>0.439223051764404</v>
      </c>
      <c r="H73" s="14">
        <f t="shared" si="5"/>
        <v>0.0217305980115794</v>
      </c>
      <c r="I73" s="35">
        <f>VLOOKUP($B73,[1]大商所raw!$B:$Z,8,0)</f>
        <v>6600.4805976</v>
      </c>
      <c r="J73" s="35">
        <f>VLOOKUP($B73,[1]大商所raw!$B:$Z,9,0)</f>
        <v>6632.3686735</v>
      </c>
      <c r="K73" s="14">
        <f>IFERROR((VLOOKUP($B73,[1]大商所raw!$B:$Z,10,0)/100),"-")</f>
        <v>-0.0048079468240978</v>
      </c>
      <c r="L73" s="35">
        <f>VLOOKUP($B73,[1]大商所raw!$B:$Z,11,0)</f>
        <v>4476.7502302</v>
      </c>
      <c r="M73" s="14">
        <f>IFERROR((VLOOKUP($B73,[1]大商所raw!$B:$Z,12,0)/100),"-")</f>
        <v>0.474391077946093</v>
      </c>
      <c r="N73" s="19">
        <f t="shared" si="6"/>
        <v>0.0115960592462825</v>
      </c>
      <c r="O73" s="13">
        <f>VLOOKUP($B73,[1]大商所raw!$B:$Z,14,0)</f>
        <v>34875908</v>
      </c>
      <c r="P73" s="13">
        <f>VLOOKUP($B73,[1]大商所raw!$B:$Z,15,0)</f>
        <v>30599472</v>
      </c>
      <c r="Q73" s="14">
        <f>IFERROR((VLOOKUP($B73,[1]大商所raw!$B:$Z,16,0)/100),"-")</f>
        <v>0.139755221920169</v>
      </c>
      <c r="R73" s="19">
        <f t="shared" si="7"/>
        <v>0.02274322441994</v>
      </c>
      <c r="S73" s="35">
        <f>VLOOKUP($B73,[1]大商所raw!$B:$Z,18,0)</f>
        <v>15682.95006845</v>
      </c>
      <c r="T73" s="35">
        <f>VLOOKUP($B73,[1]大商所raw!$B:$Z,19,0)</f>
        <v>12927.2601945</v>
      </c>
      <c r="U73" s="14">
        <f>IFERROR((VLOOKUP($B73,[1]大商所raw!$B:$Z,20,0)/100),"-")</f>
        <v>0.21316890296077</v>
      </c>
      <c r="V73" s="19">
        <f t="shared" si="8"/>
        <v>0.0121942470145724</v>
      </c>
      <c r="W73" s="13">
        <f>VLOOKUP($B73,[1]大商所raw!$B:$Z,22,0)</f>
        <v>608524</v>
      </c>
      <c r="X73" s="19">
        <f t="shared" si="9"/>
        <v>0.0197589567292667</v>
      </c>
      <c r="Y73" s="13">
        <f>VLOOKUP($B73,[1]大商所raw!$B:$Z,24,0)</f>
        <v>623019</v>
      </c>
      <c r="Z73" s="43">
        <f>IFERROR((VLOOKUP($B73,[1]大商所raw!$B:$Z,25,0)/100),"-")</f>
        <v>-0.0232657430993276</v>
      </c>
    </row>
    <row r="74" s="1" customFormat="1" spans="1:26">
      <c r="A74" s="11"/>
      <c r="B74" s="30" t="s">
        <v>100</v>
      </c>
      <c r="C74" s="13">
        <f>VLOOKUP($B74,[1]大商所raw!$B:$Z,2,0)</f>
        <v>982639</v>
      </c>
      <c r="D74" s="13">
        <f>VLOOKUP($B74,[1]大商所raw!$B:$Z,3,0)</f>
        <v>114297</v>
      </c>
      <c r="E74" s="14">
        <f>IFERROR((VLOOKUP($B74,[1]大商所raw!$B:$Z,4,0)/100),"-")</f>
        <v>7.59724227232561</v>
      </c>
      <c r="F74" s="13">
        <f>VLOOKUP($B74,[1]大商所raw!$B:$Z,5,0)</f>
        <v>600417</v>
      </c>
      <c r="G74" s="14">
        <f>IFERROR((VLOOKUP($B74,[1]大商所raw!$B:$Z,6,0)/100),"-")</f>
        <v>0.636594233674263</v>
      </c>
      <c r="H74" s="14">
        <f t="shared" si="5"/>
        <v>0.00148114728612245</v>
      </c>
      <c r="I74" s="35">
        <f>VLOOKUP($B74,[1]大商所raw!$B:$Z,8,0)</f>
        <v>2256.348476</v>
      </c>
      <c r="J74" s="35">
        <f>VLOOKUP($B74,[1]大商所raw!$B:$Z,9,0)</f>
        <v>512.2110728</v>
      </c>
      <c r="K74" s="14">
        <f>IFERROR((VLOOKUP($B74,[1]大商所raw!$B:$Z,10,0)/100),"-")</f>
        <v>3.40511460180991</v>
      </c>
      <c r="L74" s="35">
        <f>VLOOKUP($B74,[1]大商所raw!$B:$Z,11,0)</f>
        <v>1379.891192</v>
      </c>
      <c r="M74" s="14">
        <f>IFERROR((VLOOKUP($B74,[1]大商所raw!$B:$Z,12,0)/100),"-")</f>
        <v>0.635164054297406</v>
      </c>
      <c r="N74" s="19">
        <f t="shared" si="6"/>
        <v>0.00396406749797415</v>
      </c>
      <c r="O74" s="13">
        <f>VLOOKUP($B74,[1]大商所raw!$B:$Z,14,0)</f>
        <v>2090581</v>
      </c>
      <c r="P74" s="13">
        <f>VLOOKUP($B74,[1]大商所raw!$B:$Z,15,0)</f>
        <v>632898</v>
      </c>
      <c r="Q74" s="14">
        <f>IFERROR((VLOOKUP($B74,[1]大商所raw!$B:$Z,16,0)/100),"-")</f>
        <v>2.30318787545544</v>
      </c>
      <c r="R74" s="19">
        <f t="shared" si="7"/>
        <v>0.00136330652240115</v>
      </c>
      <c r="S74" s="35">
        <f>VLOOKUP($B74,[1]大商所raw!$B:$Z,18,0)</f>
        <v>4799.727464</v>
      </c>
      <c r="T74" s="35">
        <f>VLOOKUP($B74,[1]大商所raw!$B:$Z,19,0)</f>
        <v>2704.7411312</v>
      </c>
      <c r="U74" s="14">
        <f>IFERROR((VLOOKUP($B74,[1]大商所raw!$B:$Z,20,0)/100),"-")</f>
        <v>0.774560755051086</v>
      </c>
      <c r="V74" s="19">
        <f t="shared" si="8"/>
        <v>0.00373201865995788</v>
      </c>
      <c r="W74" s="13">
        <f>VLOOKUP($B74,[1]大商所raw!$B:$Z,22,0)</f>
        <v>118566</v>
      </c>
      <c r="X74" s="19">
        <f t="shared" si="9"/>
        <v>0.00384987356877007</v>
      </c>
      <c r="Y74" s="13">
        <f>VLOOKUP($B74,[1]大商所raw!$B:$Z,24,0)</f>
        <v>103474</v>
      </c>
      <c r="Z74" s="43">
        <f>IFERROR((VLOOKUP($B74,[1]大商所raw!$B:$Z,25,0)/100),"-")</f>
        <v>0.145853064537952</v>
      </c>
    </row>
    <row r="75" s="1" customFormat="1" spans="1:26">
      <c r="A75" s="11"/>
      <c r="B75" s="30" t="s">
        <v>101</v>
      </c>
      <c r="C75" s="13">
        <f>VLOOKUP($B75,[1]大商所raw!$B:$Z,2,0)</f>
        <v>55353442</v>
      </c>
      <c r="D75" s="13">
        <f>VLOOKUP($B75,[1]大商所raw!$B:$Z,3,0)</f>
        <v>42813537</v>
      </c>
      <c r="E75" s="14">
        <f>IFERROR((VLOOKUP($B75,[1]大商所raw!$B:$Z,4,0)/100),"-")</f>
        <v>0.292895796018909</v>
      </c>
      <c r="F75" s="13">
        <f>VLOOKUP($B75,[1]大商所raw!$B:$Z,5,0)</f>
        <v>32099229</v>
      </c>
      <c r="G75" s="14">
        <f>IFERROR((VLOOKUP($B75,[1]大商所raw!$B:$Z,6,0)/100),"-")</f>
        <v>0.724447711812642</v>
      </c>
      <c r="H75" s="14">
        <f t="shared" si="5"/>
        <v>0.0834351174702373</v>
      </c>
      <c r="I75" s="35">
        <f>VLOOKUP($B75,[1]大商所raw!$B:$Z,8,0)</f>
        <v>22775.5659753</v>
      </c>
      <c r="J75" s="35">
        <f>VLOOKUP($B75,[1]大商所raw!$B:$Z,9,0)</f>
        <v>14249.7632195</v>
      </c>
      <c r="K75" s="14">
        <f>IFERROR((VLOOKUP($B75,[1]大商所raw!$B:$Z,10,0)/100),"-")</f>
        <v>0.59831188943076</v>
      </c>
      <c r="L75" s="35">
        <f>VLOOKUP($B75,[1]大商所raw!$B:$Z,11,0)</f>
        <v>12183.9433273</v>
      </c>
      <c r="M75" s="14">
        <f>IFERROR((VLOOKUP($B75,[1]大商所raw!$B:$Z,12,0)/100),"-")</f>
        <v>0.869309907595174</v>
      </c>
      <c r="N75" s="19">
        <f t="shared" si="6"/>
        <v>0.0400132700205536</v>
      </c>
      <c r="O75" s="13">
        <f>VLOOKUP($B75,[1]大商所raw!$B:$Z,14,0)</f>
        <v>108688473</v>
      </c>
      <c r="P75" s="13">
        <f>VLOOKUP($B75,[1]大商所raw!$B:$Z,15,0)</f>
        <v>113918631</v>
      </c>
      <c r="Q75" s="14">
        <f>IFERROR((VLOOKUP($B75,[1]大商所raw!$B:$Z,16,0)/100),"-")</f>
        <v>-0.0459113487766545</v>
      </c>
      <c r="R75" s="19">
        <f t="shared" si="7"/>
        <v>0.0708777627610323</v>
      </c>
      <c r="S75" s="35">
        <f>VLOOKUP($B75,[1]大商所raw!$B:$Z,18,0)</f>
        <v>41872.7088585</v>
      </c>
      <c r="T75" s="35">
        <f>VLOOKUP($B75,[1]大商所raw!$B:$Z,19,0)</f>
        <v>39432.9728006</v>
      </c>
      <c r="U75" s="14">
        <f>IFERROR((VLOOKUP($B75,[1]大商所raw!$B:$Z,20,0)/100),"-")</f>
        <v>0.0618704572500017</v>
      </c>
      <c r="V75" s="19">
        <f t="shared" si="8"/>
        <v>0.0325580425086622</v>
      </c>
      <c r="W75" s="13">
        <f>VLOOKUP($B75,[1]大商所raw!$B:$Z,22,0)</f>
        <v>2589737</v>
      </c>
      <c r="X75" s="19">
        <f t="shared" si="9"/>
        <v>0.0840895368517609</v>
      </c>
      <c r="Y75" s="13">
        <f>VLOOKUP($B75,[1]大商所raw!$B:$Z,24,0)</f>
        <v>2541733</v>
      </c>
      <c r="Z75" s="43">
        <f>IFERROR((VLOOKUP($B75,[1]大商所raw!$B:$Z,25,0)/100),"-")</f>
        <v>0.0188863267699637</v>
      </c>
    </row>
    <row r="76" s="1" customFormat="1" spans="1:26">
      <c r="A76" s="11"/>
      <c r="B76" s="30" t="s">
        <v>102</v>
      </c>
      <c r="C76" s="13">
        <f>VLOOKUP($B76,[1]大商所raw!$B:$Z,2,0)</f>
        <v>25985420</v>
      </c>
      <c r="D76" s="13">
        <f>VLOOKUP($B76,[1]大商所raw!$B:$Z,3,0)</f>
        <v>18823344</v>
      </c>
      <c r="E76" s="14">
        <f>IFERROR((VLOOKUP($B76,[1]大商所raw!$B:$Z,4,0)/100),"-")</f>
        <v>0.380489035316998</v>
      </c>
      <c r="F76" s="13">
        <f>VLOOKUP($B76,[1]大商所raw!$B:$Z,5,0)</f>
        <v>16165779</v>
      </c>
      <c r="G76" s="14">
        <f>IFERROR((VLOOKUP($B76,[1]大商所raw!$B:$Z,6,0)/100),"-")</f>
        <v>0.607433826727435</v>
      </c>
      <c r="H76" s="14">
        <f t="shared" si="5"/>
        <v>0.0391682340226188</v>
      </c>
      <c r="I76" s="35">
        <f>VLOOKUP($B76,[1]大商所raw!$B:$Z,8,0)</f>
        <v>29671.2573774</v>
      </c>
      <c r="J76" s="35">
        <f>VLOOKUP($B76,[1]大商所raw!$B:$Z,9,0)</f>
        <v>14270.3663288</v>
      </c>
      <c r="K76" s="14">
        <f>IFERROR((VLOOKUP($B76,[1]大商所raw!$B:$Z,10,0)/100),"-")</f>
        <v>1.07922184292623</v>
      </c>
      <c r="L76" s="35">
        <f>VLOOKUP($B76,[1]大商所raw!$B:$Z,11,0)</f>
        <v>16969.1826322</v>
      </c>
      <c r="M76" s="14">
        <f>IFERROR((VLOOKUP($B76,[1]大商所raw!$B:$Z,12,0)/100),"-")</f>
        <v>0.74853780647614</v>
      </c>
      <c r="N76" s="19">
        <f t="shared" si="6"/>
        <v>0.0521279705882528</v>
      </c>
      <c r="O76" s="13">
        <f>VLOOKUP($B76,[1]大商所raw!$B:$Z,14,0)</f>
        <v>56677927</v>
      </c>
      <c r="P76" s="13">
        <f>VLOOKUP($B76,[1]大商所raw!$B:$Z,15,0)</f>
        <v>43299737</v>
      </c>
      <c r="Q76" s="14">
        <f>IFERROR((VLOOKUP($B76,[1]大商所raw!$B:$Z,16,0)/100),"-")</f>
        <v>0.308967003656396</v>
      </c>
      <c r="R76" s="19">
        <f t="shared" si="7"/>
        <v>0.0369607241026664</v>
      </c>
      <c r="S76" s="35">
        <f>VLOOKUP($B76,[1]大商所raw!$B:$Z,18,0)</f>
        <v>59950.7372144</v>
      </c>
      <c r="T76" s="35">
        <f>VLOOKUP($B76,[1]大商所raw!$B:$Z,19,0)</f>
        <v>31086.0150652</v>
      </c>
      <c r="U76" s="14">
        <f>IFERROR((VLOOKUP($B76,[1]大商所raw!$B:$Z,20,0)/100),"-")</f>
        <v>0.928543658254651</v>
      </c>
      <c r="V76" s="19">
        <f t="shared" si="8"/>
        <v>0.0466145779402053</v>
      </c>
      <c r="W76" s="13">
        <f>VLOOKUP($B76,[1]大商所raw!$B:$Z,22,0)</f>
        <v>597873</v>
      </c>
      <c r="X76" s="19">
        <f t="shared" si="9"/>
        <v>0.0194131155658559</v>
      </c>
      <c r="Y76" s="13">
        <f>VLOOKUP($B76,[1]大商所raw!$B:$Z,24,0)</f>
        <v>698918</v>
      </c>
      <c r="Z76" s="43">
        <f>IFERROR((VLOOKUP($B76,[1]大商所raw!$B:$Z,25,0)/100),"-")</f>
        <v>-0.144573469276796</v>
      </c>
    </row>
    <row r="77" s="1" customFormat="1" spans="1:26">
      <c r="A77" s="11"/>
      <c r="B77" s="30" t="s">
        <v>103</v>
      </c>
      <c r="C77" s="13">
        <f>VLOOKUP($B77,[1]大商所raw!$B:$Z,2,0)</f>
        <v>4627641</v>
      </c>
      <c r="D77" s="13">
        <f>VLOOKUP($B77,[1]大商所raw!$B:$Z,3,0)</f>
        <v>2183424</v>
      </c>
      <c r="E77" s="14">
        <f>IFERROR((VLOOKUP($B77,[1]大商所raw!$B:$Z,4,0)/100),"-")</f>
        <v>1.11944221552937</v>
      </c>
      <c r="F77" s="13">
        <f>VLOOKUP($B77,[1]大商所raw!$B:$Z,5,0)</f>
        <v>3972511</v>
      </c>
      <c r="G77" s="14">
        <f>IFERROR((VLOOKUP($B77,[1]大商所raw!$B:$Z,6,0)/100),"-")</f>
        <v>0.164915842901379</v>
      </c>
      <c r="H77" s="14">
        <f t="shared" si="5"/>
        <v>0.006975316375901</v>
      </c>
      <c r="I77" s="35">
        <f>VLOOKUP($B77,[1]大商所raw!$B:$Z,8,0)</f>
        <v>5823.222933</v>
      </c>
      <c r="J77" s="35">
        <f>VLOOKUP($B77,[1]大商所raw!$B:$Z,9,0)</f>
        <v>1714.278073</v>
      </c>
      <c r="K77" s="14">
        <f>IFERROR((VLOOKUP($B77,[1]大商所raw!$B:$Z,10,0)/100),"-")</f>
        <v>2.39689518562722</v>
      </c>
      <c r="L77" s="35">
        <f>VLOOKUP($B77,[1]大商所raw!$B:$Z,11,0)</f>
        <v>4266.9717286</v>
      </c>
      <c r="M77" s="14">
        <f>IFERROR((VLOOKUP($B77,[1]大商所raw!$B:$Z,12,0)/100),"-")</f>
        <v>0.364720298934488</v>
      </c>
      <c r="N77" s="19">
        <f t="shared" si="6"/>
        <v>0.0102305335402292</v>
      </c>
      <c r="O77" s="13">
        <f>VLOOKUP($B77,[1]大商所raw!$B:$Z,14,0)</f>
        <v>13625303</v>
      </c>
      <c r="P77" s="13">
        <f>VLOOKUP($B77,[1]大商所raw!$B:$Z,15,0)</f>
        <v>6645159</v>
      </c>
      <c r="Q77" s="14">
        <f>IFERROR((VLOOKUP($B77,[1]大商所raw!$B:$Z,16,0)/100),"-")</f>
        <v>1.05041038145212</v>
      </c>
      <c r="R77" s="19">
        <f t="shared" si="7"/>
        <v>0.00888531200158808</v>
      </c>
      <c r="S77" s="35">
        <f>VLOOKUP($B77,[1]大商所raw!$B:$Z,18,0)</f>
        <v>14871.2345398</v>
      </c>
      <c r="T77" s="35">
        <f>VLOOKUP($B77,[1]大商所raw!$B:$Z,19,0)</f>
        <v>4997.454712</v>
      </c>
      <c r="U77" s="14">
        <f>IFERROR((VLOOKUP($B77,[1]大商所raw!$B:$Z,20,0)/100),"-")</f>
        <v>1.9757617420906</v>
      </c>
      <c r="V77" s="19">
        <f t="shared" si="8"/>
        <v>0.011563099199989</v>
      </c>
      <c r="W77" s="13">
        <f>VLOOKUP($B77,[1]大商所raw!$B:$Z,22,0)</f>
        <v>104046</v>
      </c>
      <c r="X77" s="19">
        <f t="shared" si="9"/>
        <v>0.00337840481534546</v>
      </c>
      <c r="Y77" s="13">
        <f>VLOOKUP($B77,[1]大商所raw!$B:$Z,24,0)</f>
        <v>111246</v>
      </c>
      <c r="Z77" s="43">
        <f>IFERROR((VLOOKUP($B77,[1]大商所raw!$B:$Z,25,0)/100),"-")</f>
        <v>-0.064721428186182</v>
      </c>
    </row>
    <row r="78" s="1" customFormat="1" spans="1:26">
      <c r="A78" s="11"/>
      <c r="B78" s="30" t="s">
        <v>104</v>
      </c>
      <c r="C78" s="13">
        <f>VLOOKUP($B78,[1]大商所raw!$B:$Z,2,0)</f>
        <v>19550771</v>
      </c>
      <c r="D78" s="13">
        <f>VLOOKUP($B78,[1]大商所raw!$B:$Z,3,0)</f>
        <v>17864892</v>
      </c>
      <c r="E78" s="14">
        <f>IFERROR((VLOOKUP($B78,[1]大商所raw!$B:$Z,4,0)/100),"-")</f>
        <v>0.0943682726993256</v>
      </c>
      <c r="F78" s="13">
        <f>VLOOKUP($B78,[1]大商所raw!$B:$Z,5,0)</f>
        <v>11859735</v>
      </c>
      <c r="G78" s="14">
        <f>IFERROR((VLOOKUP($B78,[1]大商所raw!$B:$Z,6,0)/100),"-")</f>
        <v>0.648499818925128</v>
      </c>
      <c r="H78" s="14">
        <f t="shared" si="5"/>
        <v>0.0294691859454505</v>
      </c>
      <c r="I78" s="35">
        <f>VLOOKUP($B78,[1]大商所raw!$B:$Z,8,0)</f>
        <v>8829.424034</v>
      </c>
      <c r="J78" s="35">
        <f>VLOOKUP($B78,[1]大商所raw!$B:$Z,9,0)</f>
        <v>8153.01153555</v>
      </c>
      <c r="K78" s="14">
        <f>IFERROR((VLOOKUP($B78,[1]大商所raw!$B:$Z,10,0)/100),"-")</f>
        <v>0.0829647419852901</v>
      </c>
      <c r="L78" s="35">
        <f>VLOOKUP($B78,[1]大商所raw!$B:$Z,11,0)</f>
        <v>5066.0075935</v>
      </c>
      <c r="M78" s="14">
        <f>IFERROR((VLOOKUP($B78,[1]大商所raw!$B:$Z,12,0)/100),"-")</f>
        <v>0.74287619413139</v>
      </c>
      <c r="N78" s="19">
        <f t="shared" si="6"/>
        <v>0.0155119801800558</v>
      </c>
      <c r="O78" s="13">
        <f>VLOOKUP($B78,[1]大商所raw!$B:$Z,14,0)</f>
        <v>44553296</v>
      </c>
      <c r="P78" s="13">
        <f>VLOOKUP($B78,[1]大商所raw!$B:$Z,15,0)</f>
        <v>41614065</v>
      </c>
      <c r="Q78" s="14">
        <f>IFERROR((VLOOKUP($B78,[1]大商所raw!$B:$Z,16,0)/100),"-")</f>
        <v>0.0706307110348388</v>
      </c>
      <c r="R78" s="19">
        <f t="shared" si="7"/>
        <v>0.0290540280578792</v>
      </c>
      <c r="S78" s="35">
        <f>VLOOKUP($B78,[1]大商所raw!$B:$Z,18,0)</f>
        <v>19423.0479756</v>
      </c>
      <c r="T78" s="35">
        <f>VLOOKUP($B78,[1]大商所raw!$B:$Z,19,0)</f>
        <v>18086.7262165</v>
      </c>
      <c r="U78" s="14">
        <f>IFERROR((VLOOKUP($B78,[1]大商所raw!$B:$Z,20,0)/100),"-")</f>
        <v>0.073884114963874</v>
      </c>
      <c r="V78" s="19">
        <f t="shared" si="8"/>
        <v>0.0151023527943786</v>
      </c>
      <c r="W78" s="13">
        <f>VLOOKUP($B78,[1]大商所raw!$B:$Z,22,0)</f>
        <v>614547</v>
      </c>
      <c r="X78" s="19">
        <f t="shared" si="9"/>
        <v>0.0199545253450984</v>
      </c>
      <c r="Y78" s="13">
        <f>VLOOKUP($B78,[1]大商所raw!$B:$Z,24,0)</f>
        <v>685000</v>
      </c>
      <c r="Z78" s="43">
        <f>IFERROR((VLOOKUP($B78,[1]大商所raw!$B:$Z,25,0)/100),"-")</f>
        <v>-0.102851094890511</v>
      </c>
    </row>
    <row r="79" s="1" customFormat="1" spans="1:26">
      <c r="A79" s="11"/>
      <c r="B79" s="30" t="s">
        <v>105</v>
      </c>
      <c r="C79" s="13">
        <f>VLOOKUP($B79,[1]大商所raw!$B:$Z,2,0)</f>
        <v>317906</v>
      </c>
      <c r="D79" s="13">
        <f>VLOOKUP($B79,[1]大商所raw!$B:$Z,3,0)</f>
        <v>737923</v>
      </c>
      <c r="E79" s="14">
        <f>IFERROR((VLOOKUP($B79,[1]大商所raw!$B:$Z,4,0)/100),"-")</f>
        <v>-0.569188113122914</v>
      </c>
      <c r="F79" s="13">
        <f>VLOOKUP($B79,[1]大商所raw!$B:$Z,5,0)</f>
        <v>211140</v>
      </c>
      <c r="G79" s="14">
        <f>IFERROR((VLOOKUP($B79,[1]大商所raw!$B:$Z,6,0)/100),"-")</f>
        <v>0.505664488017429</v>
      </c>
      <c r="H79" s="14">
        <f t="shared" si="5"/>
        <v>0.000479184735332145</v>
      </c>
      <c r="I79" s="35">
        <f>VLOOKUP($B79,[1]大商所raw!$B:$Z,8,0)</f>
        <v>110.0935033</v>
      </c>
      <c r="J79" s="35">
        <f>VLOOKUP($B79,[1]大商所raw!$B:$Z,9,0)</f>
        <v>267.200375</v>
      </c>
      <c r="K79" s="14">
        <f>IFERROR((VLOOKUP($B79,[1]大商所raw!$B:$Z,10,0)/100),"-")</f>
        <v>-0.587973994048474</v>
      </c>
      <c r="L79" s="35">
        <f>VLOOKUP($B79,[1]大商所raw!$B:$Z,11,0)</f>
        <v>72.9006324</v>
      </c>
      <c r="M79" s="14">
        <f>IFERROR((VLOOKUP($B79,[1]大商所raw!$B:$Z,12,0)/100),"-")</f>
        <v>0.510185847166944</v>
      </c>
      <c r="N79" s="19">
        <f t="shared" si="6"/>
        <v>0.000193417853142663</v>
      </c>
      <c r="O79" s="13">
        <f>VLOOKUP($B79,[1]大商所raw!$B:$Z,14,0)</f>
        <v>792549</v>
      </c>
      <c r="P79" s="13">
        <f>VLOOKUP($B79,[1]大商所raw!$B:$Z,15,0)</f>
        <v>1868983</v>
      </c>
      <c r="Q79" s="14">
        <f>IFERROR((VLOOKUP($B79,[1]大商所raw!$B:$Z,16,0)/100),"-")</f>
        <v>-0.575946383674972</v>
      </c>
      <c r="R79" s="19">
        <f t="shared" si="7"/>
        <v>0.000516835856167502</v>
      </c>
      <c r="S79" s="35">
        <f>VLOOKUP($B79,[1]大商所raw!$B:$Z,18,0)</f>
        <v>272.0103347</v>
      </c>
      <c r="T79" s="35">
        <f>VLOOKUP($B79,[1]大商所raw!$B:$Z,19,0)</f>
        <v>682.4004733</v>
      </c>
      <c r="U79" s="14">
        <f>IFERROR((VLOOKUP($B79,[1]大商所raw!$B:$Z,20,0)/100),"-")</f>
        <v>-0.601391931361663</v>
      </c>
      <c r="V79" s="19">
        <f t="shared" si="8"/>
        <v>0.000211501101347072</v>
      </c>
      <c r="W79" s="13">
        <f>VLOOKUP($B79,[1]大商所raw!$B:$Z,22,0)</f>
        <v>29503</v>
      </c>
      <c r="X79" s="19">
        <f t="shared" si="9"/>
        <v>0.000957971255667082</v>
      </c>
      <c r="Y79" s="13">
        <f>VLOOKUP($B79,[1]大商所raw!$B:$Z,24,0)</f>
        <v>25398</v>
      </c>
      <c r="Z79" s="43">
        <f>IFERROR((VLOOKUP($B79,[1]大商所raw!$B:$Z,25,0)/100),"-")</f>
        <v>0.161626899755886</v>
      </c>
    </row>
    <row r="80" s="1" customFormat="1" spans="1:26">
      <c r="A80" s="11"/>
      <c r="B80" s="30" t="s">
        <v>106</v>
      </c>
      <c r="C80" s="13">
        <f>VLOOKUP($B80,[1]大商所raw!$B:$Z,2,0)</f>
        <v>24025539</v>
      </c>
      <c r="D80" s="13">
        <f>VLOOKUP($B80,[1]大商所raw!$B:$Z,3,0)</f>
        <v>15473500</v>
      </c>
      <c r="E80" s="14">
        <f>IFERROR((VLOOKUP($B80,[1]大商所raw!$B:$Z,4,0)/100),"-")</f>
        <v>0.55268937215239</v>
      </c>
      <c r="F80" s="13">
        <f>VLOOKUP($B80,[1]大商所raw!$B:$Z,5,0)</f>
        <v>17838468</v>
      </c>
      <c r="G80" s="14">
        <f>IFERROR((VLOOKUP($B80,[1]大商所raw!$B:$Z,6,0)/100),"-")</f>
        <v>0.346838697134754</v>
      </c>
      <c r="H80" s="14">
        <f t="shared" si="5"/>
        <v>0.036214074433723</v>
      </c>
      <c r="I80" s="35">
        <f>VLOOKUP($B80,[1]大商所raw!$B:$Z,8,0)</f>
        <v>10866.6144571</v>
      </c>
      <c r="J80" s="35">
        <f>VLOOKUP($B80,[1]大商所raw!$B:$Z,9,0)</f>
        <v>6742.50923575</v>
      </c>
      <c r="K80" s="14">
        <f>IFERROR((VLOOKUP($B80,[1]大商所raw!$B:$Z,10,0)/100),"-")</f>
        <v>0.611657333664929</v>
      </c>
      <c r="L80" s="35">
        <f>VLOOKUP($B80,[1]大商所raw!$B:$Z,11,0)</f>
        <v>7870.47861365</v>
      </c>
      <c r="M80" s="14">
        <f>IFERROR((VLOOKUP($B80,[1]大商所raw!$B:$Z,12,0)/100),"-")</f>
        <v>0.380680259807036</v>
      </c>
      <c r="N80" s="19">
        <f t="shared" si="6"/>
        <v>0.0190910196898177</v>
      </c>
      <c r="O80" s="13">
        <f>VLOOKUP($B80,[1]大商所raw!$B:$Z,14,0)</f>
        <v>62454484</v>
      </c>
      <c r="P80" s="13">
        <f>VLOOKUP($B80,[1]大商所raw!$B:$Z,15,0)</f>
        <v>29227053</v>
      </c>
      <c r="Q80" s="14">
        <f>IFERROR((VLOOKUP($B80,[1]大商所raw!$B:$Z,16,0)/100),"-")</f>
        <v>1.13687243801145</v>
      </c>
      <c r="R80" s="19">
        <f t="shared" si="7"/>
        <v>0.0407277237238827</v>
      </c>
      <c r="S80" s="35">
        <f>VLOOKUP($B80,[1]大商所raw!$B:$Z,18,0)</f>
        <v>27604.6950166</v>
      </c>
      <c r="T80" s="35">
        <f>VLOOKUP($B80,[1]大商所raw!$B:$Z,19,0)</f>
        <v>11990.38031275</v>
      </c>
      <c r="U80" s="14">
        <f>IFERROR((VLOOKUP($B80,[1]大商所raw!$B:$Z,20,0)/100),"-")</f>
        <v>1.30223681789697</v>
      </c>
      <c r="V80" s="19">
        <f t="shared" si="8"/>
        <v>0.0214639763772215</v>
      </c>
      <c r="W80" s="13">
        <f>VLOOKUP($B80,[1]大商所raw!$B:$Z,22,0)</f>
        <v>729140</v>
      </c>
      <c r="X80" s="19">
        <f t="shared" si="9"/>
        <v>0.0236753944126732</v>
      </c>
      <c r="Y80" s="13">
        <f>VLOOKUP($B80,[1]大商所raw!$B:$Z,24,0)</f>
        <v>701465</v>
      </c>
      <c r="Z80" s="43">
        <f>IFERROR((VLOOKUP($B80,[1]大商所raw!$B:$Z,25,0)/100),"-")</f>
        <v>0.0394531444904593</v>
      </c>
    </row>
    <row r="81" s="1" customFormat="1" spans="1:26">
      <c r="A81" s="11"/>
      <c r="B81" s="30" t="s">
        <v>107</v>
      </c>
      <c r="C81" s="13">
        <f>VLOOKUP($B81,[1]大商所raw!$B:$Z,2,0)</f>
        <v>18777212</v>
      </c>
      <c r="D81" s="13">
        <f>VLOOKUP($B81,[1]大商所raw!$B:$Z,3,0)</f>
        <v>23734056</v>
      </c>
      <c r="E81" s="14">
        <f>IFERROR((VLOOKUP($B81,[1]大商所raw!$B:$Z,4,0)/100),"-")</f>
        <v>-0.208849427169128</v>
      </c>
      <c r="F81" s="13">
        <f>VLOOKUP($B81,[1]大商所raw!$B:$Z,5,0)</f>
        <v>15286050</v>
      </c>
      <c r="G81" s="14">
        <f>IFERROR((VLOOKUP($B81,[1]大商所raw!$B:$Z,6,0)/100),"-")</f>
        <v>0.228388759686119</v>
      </c>
      <c r="H81" s="14">
        <f t="shared" si="5"/>
        <v>0.0283031882458827</v>
      </c>
      <c r="I81" s="35">
        <f>VLOOKUP($B81,[1]大商所raw!$B:$Z,8,0)</f>
        <v>19762.2780642</v>
      </c>
      <c r="J81" s="35">
        <f>VLOOKUP($B81,[1]大商所raw!$B:$Z,9,0)</f>
        <v>21049.5702042</v>
      </c>
      <c r="K81" s="14">
        <f>IFERROR((VLOOKUP($B81,[1]大商所raw!$B:$Z,10,0)/100),"-")</f>
        <v>-0.0611552695619005</v>
      </c>
      <c r="L81" s="35">
        <f>VLOOKUP($B81,[1]大商所raw!$B:$Z,11,0)</f>
        <v>15433.4054496</v>
      </c>
      <c r="M81" s="14">
        <f>IFERROR((VLOOKUP($B81,[1]大商所raw!$B:$Z,12,0)/100),"-")</f>
        <v>0.280487195696151</v>
      </c>
      <c r="N81" s="19">
        <f t="shared" si="6"/>
        <v>0.0347193729131327</v>
      </c>
      <c r="O81" s="13">
        <f>VLOOKUP($B81,[1]大商所raw!$B:$Z,14,0)</f>
        <v>47954074</v>
      </c>
      <c r="P81" s="13">
        <f>VLOOKUP($B81,[1]大商所raw!$B:$Z,15,0)</f>
        <v>48108170</v>
      </c>
      <c r="Q81" s="14">
        <f>IFERROR((VLOOKUP($B81,[1]大商所raw!$B:$Z,16,0)/100),"-")</f>
        <v>-0.00320311498026216</v>
      </c>
      <c r="R81" s="19">
        <f t="shared" si="7"/>
        <v>0.0312717382679301</v>
      </c>
      <c r="S81" s="35">
        <f>VLOOKUP($B81,[1]大商所raw!$B:$Z,18,0)</f>
        <v>47981.3276942</v>
      </c>
      <c r="T81" s="35">
        <f>VLOOKUP($B81,[1]大商所raw!$B:$Z,19,0)</f>
        <v>40240.0441622</v>
      </c>
      <c r="U81" s="14">
        <f>IFERROR((VLOOKUP($B81,[1]大商所raw!$B:$Z,20,0)/100),"-")</f>
        <v>0.192377610243079</v>
      </c>
      <c r="V81" s="19">
        <f t="shared" si="8"/>
        <v>0.0373077870832018</v>
      </c>
      <c r="W81" s="13">
        <f>VLOOKUP($B81,[1]大商所raw!$B:$Z,22,0)</f>
        <v>739680</v>
      </c>
      <c r="X81" s="19">
        <f t="shared" si="9"/>
        <v>0.0240176313728037</v>
      </c>
      <c r="Y81" s="13">
        <f>VLOOKUP($B81,[1]大商所raw!$B:$Z,24,0)</f>
        <v>766503</v>
      </c>
      <c r="Z81" s="43">
        <f>IFERROR((VLOOKUP($B81,[1]大商所raw!$B:$Z,25,0)/100),"-")</f>
        <v>-0.0349939921957253</v>
      </c>
    </row>
    <row r="82" s="1" customFormat="1" spans="1:26">
      <c r="A82" s="11"/>
      <c r="B82" s="30" t="s">
        <v>108</v>
      </c>
      <c r="C82" s="13">
        <f>VLOOKUP($B82,[1]大商所raw!$B:$Z,2,0)</f>
        <v>4321357</v>
      </c>
      <c r="D82" s="13">
        <f>VLOOKUP($B82,[1]大商所raw!$B:$Z,3,0)</f>
        <v>2005289</v>
      </c>
      <c r="E82" s="14">
        <f>IFERROR((VLOOKUP($B82,[1]大商所raw!$B:$Z,4,0)/100),"-")</f>
        <v>1.15497965629892</v>
      </c>
      <c r="F82" s="13">
        <f>VLOOKUP($B82,[1]大商所raw!$B:$Z,5,0)</f>
        <v>2441300</v>
      </c>
      <c r="G82" s="14">
        <f>IFERROR((VLOOKUP($B82,[1]大商所raw!$B:$Z,6,0)/100),"-")</f>
        <v>0.770104862163601</v>
      </c>
      <c r="H82" s="14">
        <f t="shared" si="5"/>
        <v>0.00651364966474591</v>
      </c>
      <c r="I82" s="35">
        <f>VLOOKUP($B82,[1]大商所raw!$B:$Z,8,0)</f>
        <v>10.98948975</v>
      </c>
      <c r="J82" s="35">
        <f>VLOOKUP($B82,[1]大商所raw!$B:$Z,9,0)</f>
        <v>4.6127114</v>
      </c>
      <c r="K82" s="14">
        <f>IFERROR((VLOOKUP($B82,[1]大商所raw!$B:$Z,10,0)/100),"-")</f>
        <v>1.38243601149641</v>
      </c>
      <c r="L82" s="35">
        <f>VLOOKUP($B82,[1]大商所raw!$B:$Z,11,0)</f>
        <v>6.2740925</v>
      </c>
      <c r="M82" s="14">
        <f>IFERROR((VLOOKUP($B82,[1]大商所raw!$B:$Z,12,0)/100),"-")</f>
        <v>0.75156642175741</v>
      </c>
      <c r="N82" s="19">
        <f t="shared" si="6"/>
        <v>1.93068932395242e-5</v>
      </c>
      <c r="O82" s="13">
        <f>VLOOKUP($B82,[1]大商所raw!$B:$Z,14,0)</f>
        <v>9333759</v>
      </c>
      <c r="P82" s="13">
        <f>VLOOKUP($B82,[1]大商所raw!$B:$Z,15,0)</f>
        <v>4028230</v>
      </c>
      <c r="Q82" s="14">
        <f>IFERROR((VLOOKUP($B82,[1]大商所raw!$B:$Z,16,0)/100),"-")</f>
        <v>1.31708690913875</v>
      </c>
      <c r="R82" s="19">
        <f t="shared" si="7"/>
        <v>0.00608671681375678</v>
      </c>
      <c r="S82" s="35">
        <f>VLOOKUP($B82,[1]大商所raw!$B:$Z,18,0)</f>
        <v>25.2759895</v>
      </c>
      <c r="T82" s="35">
        <f>VLOOKUP($B82,[1]大商所raw!$B:$Z,19,0)</f>
        <v>13.50893775</v>
      </c>
      <c r="U82" s="14">
        <f>IFERROR((VLOOKUP($B82,[1]大商所raw!$B:$Z,20,0)/100),"-")</f>
        <v>0.871056774985879</v>
      </c>
      <c r="V82" s="19">
        <f t="shared" si="8"/>
        <v>1.96532959778275e-5</v>
      </c>
      <c r="W82" s="13">
        <f>VLOOKUP($B82,[1]大商所raw!$B:$Z,22,0)</f>
        <v>749231</v>
      </c>
      <c r="X82" s="19">
        <f t="shared" si="9"/>
        <v>0.0243277552064096</v>
      </c>
      <c r="Y82" s="13">
        <f>VLOOKUP($B82,[1]大商所raw!$B:$Z,24,0)</f>
        <v>617434</v>
      </c>
      <c r="Z82" s="43">
        <f>IFERROR((VLOOKUP($B82,[1]大商所raw!$B:$Z,25,0)/100),"-")</f>
        <v>0.213459252324945</v>
      </c>
    </row>
    <row r="83" s="1" customFormat="1" spans="1:26">
      <c r="A83" s="11"/>
      <c r="B83" s="30" t="s">
        <v>109</v>
      </c>
      <c r="C83" s="13">
        <f>VLOOKUP($B83,[1]大商所raw!$B:$Z,2,0)</f>
        <v>3484996</v>
      </c>
      <c r="D83" s="13">
        <f>VLOOKUP($B83,[1]大商所raw!$B:$Z,3,0)</f>
        <v>1647212</v>
      </c>
      <c r="E83" s="14">
        <f>IFERROR((VLOOKUP($B83,[1]大商所raw!$B:$Z,4,0)/100),"-")</f>
        <v>1.11569366906021</v>
      </c>
      <c r="F83" s="13">
        <f>VLOOKUP($B83,[1]大商所raw!$B:$Z,5,0)</f>
        <v>2538822</v>
      </c>
      <c r="G83" s="14">
        <f>IFERROR((VLOOKUP($B83,[1]大商所raw!$B:$Z,6,0)/100),"-")</f>
        <v>0.372682291235857</v>
      </c>
      <c r="H83" s="14">
        <f t="shared" si="5"/>
        <v>0.00525298951857966</v>
      </c>
      <c r="I83" s="35">
        <f>VLOOKUP($B83,[1]大商所raw!$B:$Z,8,0)</f>
        <v>55.574813</v>
      </c>
      <c r="J83" s="35">
        <f>VLOOKUP($B83,[1]大商所raw!$B:$Z,9,0)</f>
        <v>38.0124816</v>
      </c>
      <c r="K83" s="14">
        <f>IFERROR((VLOOKUP($B83,[1]大商所raw!$B:$Z,10,0)/100),"-")</f>
        <v>0.462014860929258</v>
      </c>
      <c r="L83" s="35">
        <f>VLOOKUP($B83,[1]大商所raw!$B:$Z,11,0)</f>
        <v>43.7080377</v>
      </c>
      <c r="M83" s="14">
        <f>IFERROR((VLOOKUP($B83,[1]大商所raw!$B:$Z,12,0)/100),"-")</f>
        <v>0.271500985275301</v>
      </c>
      <c r="N83" s="19">
        <f t="shared" si="6"/>
        <v>9.76366515467672e-5</v>
      </c>
      <c r="O83" s="13">
        <f>VLOOKUP($B83,[1]大商所raw!$B:$Z,14,0)</f>
        <v>7599573</v>
      </c>
      <c r="P83" s="13">
        <f>VLOOKUP($B83,[1]大商所raw!$B:$Z,15,0)</f>
        <v>3015156</v>
      </c>
      <c r="Q83" s="14">
        <f>IFERROR((VLOOKUP($B83,[1]大商所raw!$B:$Z,16,0)/100),"-")</f>
        <v>1.52045764796249</v>
      </c>
      <c r="R83" s="19">
        <f t="shared" si="7"/>
        <v>0.00495582206016591</v>
      </c>
      <c r="S83" s="35">
        <f>VLOOKUP($B83,[1]大商所raw!$B:$Z,18,0)</f>
        <v>130.1320011</v>
      </c>
      <c r="T83" s="35">
        <f>VLOOKUP($B83,[1]大商所raw!$B:$Z,19,0)</f>
        <v>83.4311459</v>
      </c>
      <c r="U83" s="14">
        <f>IFERROR((VLOOKUP($B83,[1]大商所raw!$B:$Z,20,0)/100),"-")</f>
        <v>0.559753251573163</v>
      </c>
      <c r="V83" s="19">
        <f t="shared" si="8"/>
        <v>0.000101183881794431</v>
      </c>
      <c r="W83" s="13">
        <f>VLOOKUP($B83,[1]大商所raw!$B:$Z,22,0)</f>
        <v>338961</v>
      </c>
      <c r="X83" s="19">
        <f t="shared" si="9"/>
        <v>0.0110061652981788</v>
      </c>
      <c r="Y83" s="13">
        <f>VLOOKUP($B83,[1]大商所raw!$B:$Z,24,0)</f>
        <v>313843</v>
      </c>
      <c r="Z83" s="43">
        <f>IFERROR((VLOOKUP($B83,[1]大商所raw!$B:$Z,25,0)/100),"-")</f>
        <v>0.080033647396947</v>
      </c>
    </row>
    <row r="84" s="1" customFormat="1" spans="1:26">
      <c r="A84" s="11"/>
      <c r="B84" s="30" t="s">
        <v>110</v>
      </c>
      <c r="C84" s="13">
        <f>VLOOKUP($B84,[1]大商所raw!$B:$Z,2,0)</f>
        <v>427489</v>
      </c>
      <c r="D84" s="13">
        <f>VLOOKUP($B84,[1]大商所raw!$B:$Z,3,0)</f>
        <v>263149</v>
      </c>
      <c r="E84" s="14">
        <f>IFERROR((VLOOKUP($B84,[1]大商所raw!$B:$Z,4,0)/100),"-")</f>
        <v>0.624513108543069</v>
      </c>
      <c r="F84" s="13">
        <f>VLOOKUP($B84,[1]大商所raw!$B:$Z,5,0)</f>
        <v>391028</v>
      </c>
      <c r="G84" s="14">
        <f>IFERROR((VLOOKUP($B84,[1]大商所raw!$B:$Z,6,0)/100),"-")</f>
        <v>0.0932439620692125</v>
      </c>
      <c r="H84" s="14">
        <f t="shared" si="5"/>
        <v>0.000644360922166941</v>
      </c>
      <c r="I84" s="35">
        <f>VLOOKUP($B84,[1]大商所raw!$B:$Z,8,0)</f>
        <v>2.51185815</v>
      </c>
      <c r="J84" s="35">
        <f>VLOOKUP($B84,[1]大商所raw!$B:$Z,9,0)</f>
        <v>2.951444725</v>
      </c>
      <c r="K84" s="14">
        <f>IFERROR((VLOOKUP($B84,[1]大商所raw!$B:$Z,10,0)/100),"-")</f>
        <v>-0.148939457099269</v>
      </c>
      <c r="L84" s="35">
        <f>VLOOKUP($B84,[1]大商所raw!$B:$Z,11,0)</f>
        <v>2.72809805</v>
      </c>
      <c r="M84" s="14">
        <f>IFERROR((VLOOKUP($B84,[1]大商所raw!$B:$Z,12,0)/100),"-")</f>
        <v>-0.0792639766008411</v>
      </c>
      <c r="N84" s="19">
        <f t="shared" si="6"/>
        <v>4.41295985874856e-6</v>
      </c>
      <c r="O84" s="13">
        <f>VLOOKUP($B84,[1]大商所raw!$B:$Z,14,0)</f>
        <v>1201073</v>
      </c>
      <c r="P84" s="13">
        <f>VLOOKUP($B84,[1]大商所raw!$B:$Z,15,0)</f>
        <v>554176</v>
      </c>
      <c r="Q84" s="14">
        <f>IFERROR((VLOOKUP($B84,[1]大商所raw!$B:$Z,16,0)/100),"-")</f>
        <v>1.16731327231782</v>
      </c>
      <c r="R84" s="19">
        <f t="shared" si="7"/>
        <v>0.000783241909679616</v>
      </c>
      <c r="S84" s="35">
        <f>VLOOKUP($B84,[1]大商所raw!$B:$Z,18,0)</f>
        <v>8.2954657</v>
      </c>
      <c r="T84" s="35">
        <f>VLOOKUP($B84,[1]大商所raw!$B:$Z,19,0)</f>
        <v>6.256242475</v>
      </c>
      <c r="U84" s="14">
        <f>IFERROR((VLOOKUP($B84,[1]大商所raw!$B:$Z,20,0)/100),"-")</f>
        <v>0.325950158285705</v>
      </c>
      <c r="V84" s="19">
        <f t="shared" si="8"/>
        <v>6.45012305753712e-6</v>
      </c>
      <c r="W84" s="13">
        <f>VLOOKUP($B84,[1]大商所raw!$B:$Z,22,0)</f>
        <v>36703</v>
      </c>
      <c r="X84" s="19">
        <f t="shared" si="9"/>
        <v>0.00119175741439003</v>
      </c>
      <c r="Y84" s="13">
        <f>VLOOKUP($B84,[1]大商所raw!$B:$Z,24,0)</f>
        <v>37846</v>
      </c>
      <c r="Z84" s="43">
        <f>IFERROR((VLOOKUP($B84,[1]大商所raw!$B:$Z,25,0)/100),"-")</f>
        <v>-0.0302013422818792</v>
      </c>
    </row>
    <row r="85" s="1" customFormat="1" spans="1:26">
      <c r="A85" s="11"/>
      <c r="B85" s="30" t="s">
        <v>111</v>
      </c>
      <c r="C85" s="13">
        <f>VLOOKUP($B85,[1]大商所raw!$B:$Z,2,0)</f>
        <v>6338534</v>
      </c>
      <c r="D85" s="13">
        <f>VLOOKUP($B85,[1]大商所raw!$B:$Z,3,0)</f>
        <v>4777450</v>
      </c>
      <c r="E85" s="14">
        <f>IFERROR((VLOOKUP($B85,[1]大商所raw!$B:$Z,4,0)/100),"-")</f>
        <v>0.326760928947451</v>
      </c>
      <c r="F85" s="13">
        <f>VLOOKUP($B85,[1]大商所raw!$B:$Z,5,0)</f>
        <v>4780157</v>
      </c>
      <c r="G85" s="14">
        <f>IFERROR((VLOOKUP($B85,[1]大商所raw!$B:$Z,6,0)/100),"-")</f>
        <v>0.326009585040826</v>
      </c>
      <c r="H85" s="14">
        <f t="shared" si="5"/>
        <v>0.00955417241946929</v>
      </c>
      <c r="I85" s="35">
        <f>VLOOKUP($B85,[1]大商所raw!$B:$Z,8,0)</f>
        <v>49.76330665</v>
      </c>
      <c r="J85" s="35">
        <f>VLOOKUP($B85,[1]大商所raw!$B:$Z,9,0)</f>
        <v>29.37969225</v>
      </c>
      <c r="K85" s="14">
        <f>IFERROR((VLOOKUP($B85,[1]大商所raw!$B:$Z,10,0)/100),"-")</f>
        <v>0.693799452579358</v>
      </c>
      <c r="L85" s="35">
        <f>VLOOKUP($B85,[1]大商所raw!$B:$Z,11,0)</f>
        <v>42.18298635</v>
      </c>
      <c r="M85" s="14">
        <f>IFERROR((VLOOKUP($B85,[1]大商所raw!$B:$Z,12,0)/100),"-")</f>
        <v>0.179700892608804</v>
      </c>
      <c r="N85" s="19">
        <f t="shared" si="6"/>
        <v>8.74267022940945e-5</v>
      </c>
      <c r="O85" s="13">
        <f>VLOOKUP($B85,[1]大商所raw!$B:$Z,14,0)</f>
        <v>15182291</v>
      </c>
      <c r="P85" s="13">
        <f>VLOOKUP($B85,[1]大商所raw!$B:$Z,15,0)</f>
        <v>10414162</v>
      </c>
      <c r="Q85" s="14">
        <f>IFERROR((VLOOKUP($B85,[1]大商所raw!$B:$Z,16,0)/100),"-")</f>
        <v>0.457850473230587</v>
      </c>
      <c r="R85" s="19">
        <f t="shared" si="7"/>
        <v>0.00990065266320336</v>
      </c>
      <c r="S85" s="35">
        <f>VLOOKUP($B85,[1]大商所raw!$B:$Z,18,0)</f>
        <v>115.11336465</v>
      </c>
      <c r="T85" s="35">
        <f>VLOOKUP($B85,[1]大商所raw!$B:$Z,19,0)</f>
        <v>80.0130649</v>
      </c>
      <c r="U85" s="14">
        <f>IFERROR((VLOOKUP($B85,[1]大商所raw!$B:$Z,20,0)/100),"-")</f>
        <v>0.438682105152055</v>
      </c>
      <c r="V85" s="19">
        <f t="shared" si="8"/>
        <v>8.95061705287556e-5</v>
      </c>
      <c r="W85" s="13">
        <f>VLOOKUP($B85,[1]大商所raw!$B:$Z,22,0)</f>
        <v>752371</v>
      </c>
      <c r="X85" s="19">
        <f t="shared" si="9"/>
        <v>0.0244297119478527</v>
      </c>
      <c r="Y85" s="13">
        <f>VLOOKUP($B85,[1]大商所raw!$B:$Z,24,0)</f>
        <v>524014</v>
      </c>
      <c r="Z85" s="43">
        <f>IFERROR((VLOOKUP($B85,[1]大商所raw!$B:$Z,25,0)/100),"-")</f>
        <v>0.435784158438515</v>
      </c>
    </row>
    <row r="86" s="1" customFormat="1" ht="21.95" customHeight="1" spans="1:26">
      <c r="A86" s="11"/>
      <c r="B86" s="30" t="s">
        <v>112</v>
      </c>
      <c r="C86" s="13">
        <f>VLOOKUP($B86,[1]大商所raw!$B:$Z,2,0)</f>
        <v>420730</v>
      </c>
      <c r="D86" s="13">
        <f>VLOOKUP($B86,[1]大商所raw!$B:$Z,3,0)</f>
        <v>184856</v>
      </c>
      <c r="E86" s="14">
        <f>IFERROR((VLOOKUP($B86,[1]大商所raw!$B:$Z,4,0)/100),"-")</f>
        <v>1.275987795906</v>
      </c>
      <c r="F86" s="13">
        <f>VLOOKUP($B86,[1]大商所raw!$B:$Z,5,0)</f>
        <v>253213</v>
      </c>
      <c r="G86" s="14">
        <f>IFERROR((VLOOKUP($B86,[1]大商所raw!$B:$Z,6,0)/100),"-")</f>
        <v>0.661565559430203</v>
      </c>
      <c r="H86" s="14">
        <f t="shared" si="5"/>
        <v>0.000634172974704137</v>
      </c>
      <c r="I86" s="35">
        <f>VLOOKUP($B86,[1]大商所raw!$B:$Z,8,0)</f>
        <v>7.07276532</v>
      </c>
      <c r="J86" s="35">
        <f>VLOOKUP($B86,[1]大商所raw!$B:$Z,9,0)</f>
        <v>2.38276996</v>
      </c>
      <c r="K86" s="14">
        <f>IFERROR((VLOOKUP($B86,[1]大商所raw!$B:$Z,10,0)/100),"-")</f>
        <v>1.96829548749221</v>
      </c>
      <c r="L86" s="35">
        <f>VLOOKUP($B86,[1]大商所raw!$B:$Z,11,0)</f>
        <v>2.85764072</v>
      </c>
      <c r="M86" s="14">
        <f>IFERROR((VLOOKUP($B86,[1]大商所raw!$B:$Z,12,0)/100),"-")</f>
        <v>1.47503658192553</v>
      </c>
      <c r="N86" s="19">
        <f t="shared" si="6"/>
        <v>1.24257930120413e-5</v>
      </c>
      <c r="O86" s="13">
        <f>VLOOKUP($B86,[1]大商所raw!$B:$Z,14,0)</f>
        <v>933021</v>
      </c>
      <c r="P86" s="13">
        <f>VLOOKUP($B86,[1]大商所raw!$B:$Z,15,0)</f>
        <v>536344</v>
      </c>
      <c r="Q86" s="14">
        <f>IFERROR((VLOOKUP($B86,[1]大商所raw!$B:$Z,16,0)/100),"-")</f>
        <v>0.739594364810644</v>
      </c>
      <c r="R86" s="19">
        <f t="shared" si="7"/>
        <v>0.000608440244524009</v>
      </c>
      <c r="S86" s="35">
        <f>VLOOKUP($B86,[1]大商所raw!$B:$Z,18,0)</f>
        <v>12.95340764</v>
      </c>
      <c r="T86" s="35">
        <f>VLOOKUP($B86,[1]大商所raw!$B:$Z,19,0)</f>
        <v>6.7010524</v>
      </c>
      <c r="U86" s="14">
        <f>IFERROR((VLOOKUP($B86,[1]大商所raw!$B:$Z,20,0)/100),"-")</f>
        <v>0.933040792219443</v>
      </c>
      <c r="V86" s="19">
        <f t="shared" si="8"/>
        <v>1.00718966618645e-5</v>
      </c>
      <c r="W86" s="13">
        <f>VLOOKUP($B86,[1]大商所raw!$B:$Z,22,0)</f>
        <v>20066</v>
      </c>
      <c r="X86" s="19">
        <f t="shared" si="9"/>
        <v>0.000651549036240913</v>
      </c>
      <c r="Y86" s="13">
        <f>VLOOKUP($B86,[1]大商所raw!$B:$Z,24,0)</f>
        <v>18274</v>
      </c>
      <c r="Z86" s="43">
        <f>IFERROR((VLOOKUP($B86,[1]大商所raw!$B:$Z,25,0)/100),"-")</f>
        <v>0.0980628214950203</v>
      </c>
    </row>
    <row r="87" s="1" customFormat="1" spans="1:26">
      <c r="A87" s="11"/>
      <c r="B87" s="30" t="s">
        <v>113</v>
      </c>
      <c r="C87" s="13">
        <f>VLOOKUP($B87,[1]大商所raw!$B:$Z,2,0)</f>
        <v>317415</v>
      </c>
      <c r="D87" s="13">
        <f>VLOOKUP($B87,[1]大商所raw!$B:$Z,3,0)</f>
        <v>480301</v>
      </c>
      <c r="E87" s="14">
        <f>IFERROR((VLOOKUP($B87,[1]大商所raw!$B:$Z,4,0)/100),"-")</f>
        <v>-0.339133168575539</v>
      </c>
      <c r="F87" s="13">
        <f>VLOOKUP($B87,[1]大商所raw!$B:$Z,5,0)</f>
        <v>283534</v>
      </c>
      <c r="G87" s="14">
        <f>IFERROR((VLOOKUP($B87,[1]大商所raw!$B:$Z,6,0)/100),"-")</f>
        <v>0.119495369162076</v>
      </c>
      <c r="H87" s="14">
        <f t="shared" si="5"/>
        <v>0.000478444643276481</v>
      </c>
      <c r="I87" s="35">
        <f>VLOOKUP($B87,[1]大商所raw!$B:$Z,8,0)</f>
        <v>2.528454225</v>
      </c>
      <c r="J87" s="35">
        <f>VLOOKUP($B87,[1]大商所raw!$B:$Z,9,0)</f>
        <v>4.0258707</v>
      </c>
      <c r="K87" s="14">
        <f>IFERROR((VLOOKUP($B87,[1]大商所raw!$B:$Z,10,0)/100),"-")</f>
        <v>-0.371948476884764</v>
      </c>
      <c r="L87" s="35">
        <f>VLOOKUP($B87,[1]大商所raw!$B:$Z,11,0)</f>
        <v>1.83827175</v>
      </c>
      <c r="M87" s="14">
        <f>IFERROR((VLOOKUP($B87,[1]大商所raw!$B:$Z,12,0)/100),"-")</f>
        <v>0.375451820439497</v>
      </c>
      <c r="N87" s="19">
        <f t="shared" si="6"/>
        <v>4.44211668545383e-6</v>
      </c>
      <c r="O87" s="13">
        <f>VLOOKUP($B87,[1]大商所raw!$B:$Z,14,0)</f>
        <v>952145</v>
      </c>
      <c r="P87" s="13">
        <f>VLOOKUP($B87,[1]大商所raw!$B:$Z,15,0)</f>
        <v>914993</v>
      </c>
      <c r="Q87" s="14">
        <f>IFERROR((VLOOKUP($B87,[1]大商所raw!$B:$Z,16,0)/100),"-")</f>
        <v>0.0406035893170766</v>
      </c>
      <c r="R87" s="19">
        <f t="shared" si="7"/>
        <v>0.00062091135850352</v>
      </c>
      <c r="S87" s="35">
        <f>VLOOKUP($B87,[1]大商所raw!$B:$Z,18,0)</f>
        <v>6.66166075</v>
      </c>
      <c r="T87" s="35">
        <f>VLOOKUP($B87,[1]大商所raw!$B:$Z,19,0)</f>
        <v>7.88375575</v>
      </c>
      <c r="U87" s="14">
        <f>IFERROR((VLOOKUP($B87,[1]大商所raw!$B:$Z,20,0)/100),"-")</f>
        <v>-0.155014315353441</v>
      </c>
      <c r="V87" s="19">
        <f t="shared" si="8"/>
        <v>5.17976122848233e-6</v>
      </c>
      <c r="W87" s="13">
        <f>VLOOKUP($B87,[1]大商所raw!$B:$Z,22,0)</f>
        <v>35918</v>
      </c>
      <c r="X87" s="19">
        <f t="shared" si="9"/>
        <v>0.00116626822902926</v>
      </c>
      <c r="Y87" s="13">
        <f>VLOOKUP($B87,[1]大商所raw!$B:$Z,24,0)</f>
        <v>35195</v>
      </c>
      <c r="Z87" s="43">
        <f>IFERROR((VLOOKUP($B87,[1]大商所raw!$B:$Z,25,0)/100),"-")</f>
        <v>0.0205426907231141</v>
      </c>
    </row>
    <row r="88" s="1" customFormat="1" spans="1:26">
      <c r="A88" s="11"/>
      <c r="B88" s="30" t="s">
        <v>114</v>
      </c>
      <c r="C88" s="13">
        <f>VLOOKUP($B88,[1]大商所raw!$B:$Z,2,0)</f>
        <v>553052</v>
      </c>
      <c r="D88" s="13">
        <f>VLOOKUP($B88,[1]大商所raw!$B:$Z,3,0)</f>
        <v>503313</v>
      </c>
      <c r="E88" s="14">
        <f>IFERROR((VLOOKUP($B88,[1]大商所raw!$B:$Z,4,0)/100),"-")</f>
        <v>0.0988231974934086</v>
      </c>
      <c r="F88" s="13">
        <f>VLOOKUP($B88,[1]大商所raw!$B:$Z,5,0)</f>
        <v>413845</v>
      </c>
      <c r="G88" s="14">
        <f>IFERROR((VLOOKUP($B88,[1]大商所raw!$B:$Z,6,0)/100),"-")</f>
        <v>0.336374729669321</v>
      </c>
      <c r="H88" s="14">
        <f t="shared" si="5"/>
        <v>0.000833624015416235</v>
      </c>
      <c r="I88" s="35">
        <f>VLOOKUP($B88,[1]大商所raw!$B:$Z,8,0)</f>
        <v>2.8322863</v>
      </c>
      <c r="J88" s="35">
        <f>VLOOKUP($B88,[1]大商所raw!$B:$Z,9,0)</f>
        <v>4.7640293</v>
      </c>
      <c r="K88" s="14">
        <f>IFERROR((VLOOKUP($B88,[1]大商所raw!$B:$Z,10,0)/100),"-")</f>
        <v>-0.405485121596544</v>
      </c>
      <c r="L88" s="35">
        <f>VLOOKUP($B88,[1]大商所raw!$B:$Z,11,0)</f>
        <v>3.069288875</v>
      </c>
      <c r="M88" s="14">
        <f>IFERROR((VLOOKUP($B88,[1]大商所raw!$B:$Z,12,0)/100),"-")</f>
        <v>-0.0772174222278117</v>
      </c>
      <c r="N88" s="19">
        <f t="shared" si="6"/>
        <v>4.97590429235961e-6</v>
      </c>
      <c r="O88" s="13">
        <f>VLOOKUP($B88,[1]大商所raw!$B:$Z,14,0)</f>
        <v>1282577</v>
      </c>
      <c r="P88" s="13">
        <f>VLOOKUP($B88,[1]大商所raw!$B:$Z,15,0)</f>
        <v>977782</v>
      </c>
      <c r="Q88" s="14">
        <f>IFERROR((VLOOKUP($B88,[1]大商所raw!$B:$Z,16,0)/100),"-")</f>
        <v>0.311720813023762</v>
      </c>
      <c r="R88" s="19">
        <f t="shared" si="7"/>
        <v>0.000836392174989491</v>
      </c>
      <c r="S88" s="35">
        <f>VLOOKUP($B88,[1]大商所raw!$B:$Z,18,0)</f>
        <v>9.245901575</v>
      </c>
      <c r="T88" s="35">
        <f>VLOOKUP($B88,[1]大商所raw!$B:$Z,19,0)</f>
        <v>9.122915925</v>
      </c>
      <c r="U88" s="14">
        <f>IFERROR((VLOOKUP($B88,[1]大商所raw!$B:$Z,20,0)/100),"-")</f>
        <v>0.0134809583921491</v>
      </c>
      <c r="V88" s="19">
        <f t="shared" si="8"/>
        <v>7.18913260489116e-6</v>
      </c>
      <c r="W88" s="13">
        <f>VLOOKUP($B88,[1]大商所raw!$B:$Z,22,0)</f>
        <v>65404</v>
      </c>
      <c r="X88" s="19">
        <f t="shared" si="9"/>
        <v>0.00212368748959936</v>
      </c>
      <c r="Y88" s="13">
        <f>VLOOKUP($B88,[1]大商所raw!$B:$Z,24,0)</f>
        <v>64678</v>
      </c>
      <c r="Z88" s="43">
        <f>IFERROR((VLOOKUP($B88,[1]大商所raw!$B:$Z,25,0)/100),"-")</f>
        <v>0.0112248368842574</v>
      </c>
    </row>
    <row r="89" s="1" customFormat="1" spans="1:26">
      <c r="A89" s="11"/>
      <c r="B89" s="30" t="s">
        <v>115</v>
      </c>
      <c r="C89" s="13">
        <f>VLOOKUP($B89,[1]大商所raw!$B:$Z,2,0)</f>
        <v>3296609</v>
      </c>
      <c r="D89" s="13" t="str">
        <f>VLOOKUP($B89,[1]大商所raw!$B:$Z,3,0)</f>
        <v>-</v>
      </c>
      <c r="E89" s="14" t="str">
        <f>IFERROR((VLOOKUP($B89,[1]大商所raw!$B:$Z,4,0)/100),"-")</f>
        <v>-</v>
      </c>
      <c r="F89" s="13">
        <f>VLOOKUP($B89,[1]大商所raw!$B:$Z,5,0)</f>
        <v>1788292</v>
      </c>
      <c r="G89" s="14">
        <f>IFERROR((VLOOKUP($B89,[1]大商所raw!$B:$Z,6,0)/100),"-")</f>
        <v>0.843439997494816</v>
      </c>
      <c r="H89" s="14">
        <f t="shared" si="5"/>
        <v>0.0049690308177844</v>
      </c>
      <c r="I89" s="35">
        <f>VLOOKUP($B89,[1]大商所raw!$B:$Z,8,0)</f>
        <v>64.4308028</v>
      </c>
      <c r="J89" s="35" t="str">
        <f>VLOOKUP($B89,[1]大商所raw!$B:$Z,9,0)</f>
        <v>-</v>
      </c>
      <c r="K89" s="14" t="str">
        <f>IFERROR((VLOOKUP($B89,[1]大商所raw!$B:$Z,10,0)/100),"-")</f>
        <v>-</v>
      </c>
      <c r="L89" s="35">
        <f>VLOOKUP($B89,[1]大商所raw!$B:$Z,11,0)</f>
        <v>32.98570215</v>
      </c>
      <c r="M89" s="14">
        <f>IFERROR((VLOOKUP($B89,[1]大商所raw!$B:$Z,12,0)/100),"-")</f>
        <v>0.953294870213942</v>
      </c>
      <c r="N89" s="19">
        <f t="shared" si="6"/>
        <v>0.000113195303812576</v>
      </c>
      <c r="O89" s="13">
        <f>VLOOKUP($B89,[1]大商所raw!$B:$Z,14,0)</f>
        <v>6904260</v>
      </c>
      <c r="P89" s="13" t="str">
        <f>VLOOKUP($B89,[1]大商所raw!$B:$Z,15,0)</f>
        <v>-</v>
      </c>
      <c r="Q89" s="14" t="str">
        <f>IFERROR((VLOOKUP($B89,[1]大商所raw!$B:$Z,16,0)/100),"-")</f>
        <v>-</v>
      </c>
      <c r="R89" s="19">
        <f t="shared" si="7"/>
        <v>0.00450239559737384</v>
      </c>
      <c r="S89" s="35">
        <f>VLOOKUP($B89,[1]大商所raw!$B:$Z,18,0)</f>
        <v>124.32004665</v>
      </c>
      <c r="T89" s="35" t="str">
        <f>VLOOKUP($B89,[1]大商所raw!$B:$Z,19,0)</f>
        <v>-</v>
      </c>
      <c r="U89" s="14" t="str">
        <f>IFERROR((VLOOKUP($B89,[1]大商所raw!$B:$Z,20,0)/100),"-")</f>
        <v>-</v>
      </c>
      <c r="V89" s="19">
        <f t="shared" si="8"/>
        <v>9.66648080301573e-5</v>
      </c>
      <c r="W89" s="13">
        <f>VLOOKUP($B89,[1]大商所raw!$B:$Z,22,0)</f>
        <v>303051</v>
      </c>
      <c r="X89" s="19">
        <f t="shared" si="9"/>
        <v>0.00984015683154814</v>
      </c>
      <c r="Y89" s="13">
        <f>VLOOKUP($B89,[1]大商所raw!$B:$Z,24,0)</f>
        <v>343898</v>
      </c>
      <c r="Z89" s="43">
        <f>IFERROR((VLOOKUP($B89,[1]大商所raw!$B:$Z,25,0)/100),"-")</f>
        <v>-0.118776497682452</v>
      </c>
    </row>
    <row r="90" s="2" customFormat="1" spans="1:26">
      <c r="A90" s="45"/>
      <c r="B90" s="46" t="s">
        <v>116</v>
      </c>
      <c r="C90" s="47">
        <f>VLOOKUP($B90,[1]大商所raw!$B:$Z,2,0)</f>
        <v>252591080</v>
      </c>
      <c r="D90" s="47">
        <f>VLOOKUP($B90,[1]大商所raw!$B:$Z,3,0)</f>
        <v>236510188</v>
      </c>
      <c r="E90" s="48">
        <f>IFERROR((VLOOKUP($B90,[1]大商所raw!$B:$Z,4,0)/100),"-")</f>
        <v>0.0679923860193288</v>
      </c>
      <c r="F90" s="47">
        <f>VLOOKUP($B90,[1]大商所raw!$B:$Z,5,0)</f>
        <v>169650267</v>
      </c>
      <c r="G90" s="48">
        <f>IFERROR((VLOOKUP($B90,[1]大商所raw!$B:$Z,6,0)/100),"-")</f>
        <v>0.488892911674581</v>
      </c>
      <c r="H90" s="48">
        <f t="shared" si="5"/>
        <v>0.380734524724481</v>
      </c>
      <c r="I90" s="63">
        <f>VLOOKUP($B90,[1]大商所raw!$B:$Z,8,0)</f>
        <v>148602.294085445</v>
      </c>
      <c r="J90" s="63">
        <f>VLOOKUP($B90,[1]大商所raw!$B:$Z,9,0)</f>
        <v>133841.842870885</v>
      </c>
      <c r="K90" s="48">
        <f>IFERROR((VLOOKUP($B90,[1]大商所raw!$B:$Z,10,0)/100),"-")</f>
        <v>0.110282785248251</v>
      </c>
      <c r="L90" s="63">
        <f>VLOOKUP($B90,[1]大商所raw!$B:$Z,11,0)</f>
        <v>95589.734709495</v>
      </c>
      <c r="M90" s="48">
        <f>IFERROR((VLOOKUP($B90,[1]大商所raw!$B:$Z,12,0)/100),"-")</f>
        <v>0.554584229541587</v>
      </c>
      <c r="N90" s="64">
        <f t="shared" si="6"/>
        <v>0.261072050870793</v>
      </c>
      <c r="O90" s="47">
        <f>VLOOKUP($B90,[1]大商所raw!$B:$Z,14,0)</f>
        <v>584602260</v>
      </c>
      <c r="P90" s="47">
        <f>VLOOKUP($B90,[1]大商所raw!$B:$Z,15,0)</f>
        <v>552423337</v>
      </c>
      <c r="Q90" s="48">
        <f>IFERROR((VLOOKUP($B90,[1]大商所raw!$B:$Z,16,0)/100),"-")</f>
        <v>0.0582504772060344</v>
      </c>
      <c r="R90" s="64">
        <f t="shared" si="7"/>
        <v>0.381229942331082</v>
      </c>
      <c r="S90" s="63">
        <f>VLOOKUP($B90,[1]大商所raw!$B:$Z,18,0)</f>
        <v>330732.246048965</v>
      </c>
      <c r="T90" s="63">
        <f>VLOOKUP($B90,[1]大商所raw!$B:$Z,19,0)</f>
        <v>309171.43118595</v>
      </c>
      <c r="U90" s="48">
        <f>IFERROR((VLOOKUP($B90,[1]大商所raw!$B:$Z,20,0)/100),"-")</f>
        <v>0.0697374100197743</v>
      </c>
      <c r="V90" s="64">
        <f t="shared" si="8"/>
        <v>0.257160208149793</v>
      </c>
      <c r="W90" s="47">
        <f>VLOOKUP($B90,[1]大商所raw!$B:$Z,22,0)</f>
        <v>12751170</v>
      </c>
      <c r="X90" s="64">
        <f t="shared" si="9"/>
        <v>0.414034312989338</v>
      </c>
      <c r="Y90" s="47">
        <f>VLOOKUP($B90,[1]大商所raw!$B:$Z,24,0)</f>
        <v>12616914</v>
      </c>
      <c r="Z90" s="68">
        <f>IFERROR((VLOOKUP($B90,[1]大商所raw!$B:$Z,25,0)/100),"-")</f>
        <v>0.0106409538814325</v>
      </c>
    </row>
    <row r="91" s="4" customFormat="1" ht="26.45" customHeight="1" spans="1:26">
      <c r="A91" s="49" t="s">
        <v>117</v>
      </c>
      <c r="B91" s="4" t="s">
        <v>118</v>
      </c>
      <c r="C91" s="13">
        <f>VLOOKUP($B91,[1]中金所raw!$B:$Z,2,0)</f>
        <v>1967531</v>
      </c>
      <c r="D91" s="13">
        <f>VLOOKUP($B91,[1]中金所raw!$B:$Z,3,0)</f>
        <v>1315781</v>
      </c>
      <c r="E91" s="14">
        <f>VLOOKUP($B91,[1]中金所raw!$B:$Z,4,0)</f>
        <v>0.4953</v>
      </c>
      <c r="F91" s="13">
        <f>VLOOKUP($B91,[1]中金所raw!$B:$Z,5,0)</f>
        <v>1512088</v>
      </c>
      <c r="G91" s="14">
        <f>VLOOKUP($B91,[1]中金所raw!$B:$Z,6,0)</f>
        <v>0.3012</v>
      </c>
      <c r="H91" s="40">
        <f t="shared" si="5"/>
        <v>0.0029656905547325</v>
      </c>
      <c r="I91" s="35">
        <f>VLOOKUP($B91,[1]中金所raw!$B:$Z,7,0)</f>
        <v>19699.1891935</v>
      </c>
      <c r="J91" s="35">
        <f>VLOOKUP($B91,[1]中金所raw!$B:$Z,8,0)</f>
        <v>12770.694098</v>
      </c>
      <c r="K91" s="14">
        <f>VLOOKUP($B91,[1]中金所raw!$B:$Z,9,0)</f>
        <v>0.5425</v>
      </c>
      <c r="L91" s="35">
        <f>VLOOKUP($B91,[1]中金所raw!$B:$Z,10,0)</f>
        <v>15192.026445</v>
      </c>
      <c r="M91" s="14">
        <f>VLOOKUP($B91,[1]中金所raw!$B:$Z,11,0)</f>
        <v>0.2967</v>
      </c>
      <c r="N91" s="26">
        <f t="shared" si="6"/>
        <v>0.034608535183728</v>
      </c>
      <c r="O91" s="13">
        <f>VLOOKUP($B91,[1]中金所raw!$B:$Z,12,0)</f>
        <v>4753989</v>
      </c>
      <c r="P91" s="13">
        <f>VLOOKUP($B91,[1]中金所raw!$B:$Z,13,0)</f>
        <v>3621445</v>
      </c>
      <c r="Q91" s="14">
        <f>VLOOKUP($B91,[1]中金所raw!$B:$Z,14,0)</f>
        <v>0.3127</v>
      </c>
      <c r="R91" s="26">
        <f t="shared" si="7"/>
        <v>0.00310016412237715</v>
      </c>
      <c r="S91" s="35">
        <f>VLOOKUP($B91,[1]中金所raw!$B:$Z,15,0)</f>
        <v>47748.679476</v>
      </c>
      <c r="T91" s="35">
        <f>VLOOKUP($B91,[1]中金所raw!$B:$Z,16,0)</f>
        <v>35258.5117305</v>
      </c>
      <c r="U91" s="14">
        <f>VLOOKUP($B91,[1]中金所raw!$B:$Z,17,0)</f>
        <v>0.3542</v>
      </c>
      <c r="V91" s="26">
        <f t="shared" si="8"/>
        <v>0.0371268919182074</v>
      </c>
      <c r="W91" s="13">
        <f>VLOOKUP($B91,[1]中金所raw!$B:$Z,18,0)</f>
        <v>179879</v>
      </c>
      <c r="X91" s="26">
        <f t="shared" si="9"/>
        <v>0.00584072506179504</v>
      </c>
      <c r="Y91" s="13">
        <f>VLOOKUP($B91,[1]中金所raw!$B:$Z,19,0)</f>
        <v>168171</v>
      </c>
      <c r="Z91" s="43">
        <f>VLOOKUP($B91,[1]中金所raw!$B:$Z,20,0)</f>
        <v>0.0696</v>
      </c>
    </row>
    <row r="92" s="5" customFormat="1" ht="26.45" customHeight="1" spans="1:26">
      <c r="A92" s="50"/>
      <c r="B92" s="4" t="s">
        <v>119</v>
      </c>
      <c r="C92" s="13">
        <f>VLOOKUP($B92,[1]中金所raw!$B:$Z,2,0)</f>
        <v>399804</v>
      </c>
      <c r="D92" s="13">
        <f>VLOOKUP($B92,[1]中金所raw!$B:$Z,3,0)</f>
        <v>186958</v>
      </c>
      <c r="E92" s="14">
        <f>VLOOKUP($B92,[1]中金所raw!$B:$Z,4,0)</f>
        <v>1.1385</v>
      </c>
      <c r="F92" s="13">
        <f>VLOOKUP($B92,[1]中金所raw!$B:$Z,5,0)</f>
        <v>323826</v>
      </c>
      <c r="G92" s="14">
        <f>VLOOKUP($B92,[1]中金所raw!$B:$Z,6,0)</f>
        <v>0.2346</v>
      </c>
      <c r="H92" s="40">
        <f t="shared" si="5"/>
        <v>0.00060263088436435</v>
      </c>
      <c r="I92" s="35">
        <f>VLOOKUP($B92,[1]中金所raw!$B:$Z,7,0)</f>
        <v>8087.686202</v>
      </c>
      <c r="J92" s="35">
        <f>VLOOKUP($B92,[1]中金所raw!$B:$Z,8,0)</f>
        <v>3741.875579</v>
      </c>
      <c r="K92" s="14">
        <f>VLOOKUP($B92,[1]中金所raw!$B:$Z,9,0)</f>
        <v>1.1614</v>
      </c>
      <c r="L92" s="35">
        <f>VLOOKUP($B92,[1]中金所raw!$B:$Z,10,0)</f>
        <v>6556.219853</v>
      </c>
      <c r="M92" s="14">
        <f>VLOOKUP($B92,[1]中金所raw!$B:$Z,11,0)</f>
        <v>0.2336</v>
      </c>
      <c r="N92" s="26">
        <f t="shared" si="6"/>
        <v>0.0142088575183199</v>
      </c>
      <c r="O92" s="13">
        <f>VLOOKUP($B92,[1]中金所raw!$B:$Z,12,0)</f>
        <v>991989</v>
      </c>
      <c r="P92" s="13">
        <f>VLOOKUP($B92,[1]中金所raw!$B:$Z,13,0)</f>
        <v>504306</v>
      </c>
      <c r="Q92" s="14">
        <f>VLOOKUP($B92,[1]中金所raw!$B:$Z,14,0)</f>
        <v>0.967</v>
      </c>
      <c r="R92" s="26">
        <f t="shared" si="7"/>
        <v>0.000646894367570641</v>
      </c>
      <c r="S92" s="35">
        <f>VLOOKUP($B92,[1]中金所raw!$B:$Z,15,0)</f>
        <v>20075.248011</v>
      </c>
      <c r="T92" s="35">
        <f>VLOOKUP($B92,[1]中金所raw!$B:$Z,16,0)</f>
        <v>10108.982773</v>
      </c>
      <c r="U92" s="14">
        <f>VLOOKUP($B92,[1]中金所raw!$B:$Z,17,0)</f>
        <v>0.9859</v>
      </c>
      <c r="V92" s="26">
        <f t="shared" si="8"/>
        <v>0.015609469650574</v>
      </c>
      <c r="W92" s="13">
        <f>VLOOKUP($B92,[1]中金所raw!$B:$Z,18,0)</f>
        <v>48181</v>
      </c>
      <c r="X92" s="26">
        <f t="shared" si="9"/>
        <v>0.00156445151575418</v>
      </c>
      <c r="Y92" s="13">
        <f>VLOOKUP($B92,[1]中金所raw!$B:$Z,19,0)</f>
        <v>34235</v>
      </c>
      <c r="Z92" s="43">
        <f>VLOOKUP($B92,[1]中金所raw!$B:$Z,20,0)</f>
        <v>0.4074</v>
      </c>
    </row>
    <row r="93" s="1" customFormat="1" ht="21.6" customHeight="1" spans="1:26">
      <c r="A93" s="51"/>
      <c r="B93" s="4" t="s">
        <v>120</v>
      </c>
      <c r="C93" s="13">
        <f>VLOOKUP($B93,[1]中金所raw!$B:$Z,2,0)</f>
        <v>1009466</v>
      </c>
      <c r="D93" s="13">
        <f>VLOOKUP($B93,[1]中金所raw!$B:$Z,3,0)</f>
        <v>469785</v>
      </c>
      <c r="E93" s="14">
        <f>VLOOKUP($B93,[1]中金所raw!$B:$Z,4,0)</f>
        <v>1.1488</v>
      </c>
      <c r="F93" s="13">
        <f>VLOOKUP($B93,[1]中金所raw!$B:$Z,5,0)</f>
        <v>784943</v>
      </c>
      <c r="G93" s="14">
        <f>VLOOKUP($B93,[1]中金所raw!$B:$Z,6,0)</f>
        <v>0.286</v>
      </c>
      <c r="H93" s="40">
        <f t="shared" si="5"/>
        <v>0.00152158404697237</v>
      </c>
      <c r="I93" s="35">
        <f>VLOOKUP($B93,[1]中金所raw!$B:$Z,7,0)</f>
        <v>10238.8671135</v>
      </c>
      <c r="J93" s="35">
        <f>VLOOKUP($B93,[1]中金所raw!$B:$Z,8,0)</f>
        <v>4666.596383</v>
      </c>
      <c r="K93" s="14">
        <f>VLOOKUP($B93,[1]中金所raw!$B:$Z,9,0)</f>
        <v>1.1941</v>
      </c>
      <c r="L93" s="35">
        <f>VLOOKUP($B93,[1]中金所raw!$B:$Z,10,0)</f>
        <v>7987.232872</v>
      </c>
      <c r="M93" s="14">
        <f>VLOOKUP($B93,[1]中金所raw!$B:$Z,11,0)</f>
        <v>0.2819</v>
      </c>
      <c r="N93" s="26">
        <f t="shared" si="6"/>
        <v>0.0179881613023953</v>
      </c>
      <c r="O93" s="13">
        <f>VLOOKUP($B93,[1]中金所raw!$B:$Z,12,0)</f>
        <v>2470241</v>
      </c>
      <c r="P93" s="13">
        <f>VLOOKUP($B93,[1]中金所raw!$B:$Z,13,0)</f>
        <v>1484421</v>
      </c>
      <c r="Q93" s="14">
        <f>VLOOKUP($B93,[1]中金所raw!$B:$Z,14,0)</f>
        <v>0.6641</v>
      </c>
      <c r="R93" s="26">
        <f t="shared" si="7"/>
        <v>0.001610889827853</v>
      </c>
      <c r="S93" s="35">
        <f>VLOOKUP($B93,[1]中金所raw!$B:$Z,15,0)</f>
        <v>25121.112471</v>
      </c>
      <c r="T93" s="35">
        <f>VLOOKUP($B93,[1]中金所raw!$B:$Z,16,0)</f>
        <v>14773.0395085</v>
      </c>
      <c r="U93" s="14">
        <f>VLOOKUP($B93,[1]中金所raw!$B:$Z,17,0)</f>
        <v>0.7005</v>
      </c>
      <c r="V93" s="26">
        <f t="shared" si="8"/>
        <v>0.0195328716482042</v>
      </c>
      <c r="W93" s="13">
        <f>VLOOKUP($B93,[1]中金所raw!$B:$Z,18,0)</f>
        <v>109881</v>
      </c>
      <c r="X93" s="26">
        <f t="shared" si="9"/>
        <v>0.00356786901481052</v>
      </c>
      <c r="Y93" s="13">
        <f>VLOOKUP($B93,[1]中金所raw!$B:$Z,19,0)</f>
        <v>91453</v>
      </c>
      <c r="Z93" s="43">
        <f>VLOOKUP($B93,[1]中金所raw!$B:$Z,20,0)</f>
        <v>0.2015</v>
      </c>
    </row>
    <row r="94" s="1" customFormat="1" ht="22.5" spans="1:26">
      <c r="A94" s="51"/>
      <c r="B94" s="4" t="s">
        <v>121</v>
      </c>
      <c r="C94" s="13">
        <f>VLOOKUP($B94,[1]中金所raw!$B:$Z,2,0)</f>
        <v>3067059</v>
      </c>
      <c r="D94" s="13">
        <f>VLOOKUP($B94,[1]中金所raw!$B:$Z,3,0)</f>
        <v>3560163</v>
      </c>
      <c r="E94" s="14">
        <f>VLOOKUP($B94,[1]中金所raw!$B:$Z,4,0)</f>
        <v>-0.1385</v>
      </c>
      <c r="F94" s="13">
        <f>VLOOKUP($B94,[1]中金所raw!$B:$Z,5,0)</f>
        <v>1501564</v>
      </c>
      <c r="G94" s="14">
        <f>VLOOKUP($B94,[1]中金所raw!$B:$Z,6,0)</f>
        <v>1.0426</v>
      </c>
      <c r="H94" s="40">
        <f t="shared" si="5"/>
        <v>0.00462302647689277</v>
      </c>
      <c r="I94" s="35">
        <f>VLOOKUP($B94,[1]中金所raw!$B:$Z,7,0)</f>
        <v>38862.676257</v>
      </c>
      <c r="J94" s="35">
        <f>VLOOKUP($B94,[1]中金所raw!$B:$Z,8,0)</f>
        <v>54201.6895806</v>
      </c>
      <c r="K94" s="14">
        <f>VLOOKUP($B94,[1]中金所raw!$B:$Z,9,0)</f>
        <v>-0.283</v>
      </c>
      <c r="L94" s="35">
        <f>VLOOKUP($B94,[1]中金所raw!$B:$Z,10,0)</f>
        <v>20691.6160632</v>
      </c>
      <c r="M94" s="14">
        <f>VLOOKUP($B94,[1]中金所raw!$B:$Z,11,0)</f>
        <v>0.8782</v>
      </c>
      <c r="N94" s="26">
        <f t="shared" si="6"/>
        <v>0.0682759216819953</v>
      </c>
      <c r="O94" s="13">
        <f>VLOOKUP($B94,[1]中金所raw!$B:$Z,12,0)</f>
        <v>6462624</v>
      </c>
      <c r="P94" s="13">
        <f>VLOOKUP($B94,[1]中金所raw!$B:$Z,13,0)</f>
        <v>8508887</v>
      </c>
      <c r="Q94" s="14">
        <f>VLOOKUP($B94,[1]中金所raw!$B:$Z,14,0)</f>
        <v>-0.2405</v>
      </c>
      <c r="R94" s="26">
        <f t="shared" si="7"/>
        <v>0.0042143965964611</v>
      </c>
      <c r="S94" s="35">
        <f>VLOOKUP($B94,[1]中金所raw!$B:$Z,15,0)</f>
        <v>86753.6002398</v>
      </c>
      <c r="T94" s="35">
        <f>VLOOKUP($B94,[1]中金所raw!$B:$Z,16,0)</f>
        <v>135827.1599964</v>
      </c>
      <c r="U94" s="14">
        <f>VLOOKUP($B94,[1]中金所raw!$B:$Z,17,0)</f>
        <v>-0.3613</v>
      </c>
      <c r="V94" s="26">
        <f t="shared" si="8"/>
        <v>0.0674550914279703</v>
      </c>
      <c r="W94" s="13">
        <f>VLOOKUP($B94,[1]中金所raw!$B:$Z,18,0)</f>
        <v>206208</v>
      </c>
      <c r="X94" s="26">
        <f t="shared" si="9"/>
        <v>0.00669563558582509</v>
      </c>
      <c r="Y94" s="13">
        <f>VLOOKUP($B94,[1]中金所raw!$B:$Z,19,0)</f>
        <v>203209</v>
      </c>
      <c r="Z94" s="43">
        <f>VLOOKUP($B94,[1]中金所raw!$B:$Z,20,0)</f>
        <v>0.0148</v>
      </c>
    </row>
    <row r="95" s="1" customFormat="1" ht="22.5" spans="1:26">
      <c r="A95" s="51"/>
      <c r="B95" s="4" t="s">
        <v>122</v>
      </c>
      <c r="C95" s="13">
        <f>VLOOKUP($B95,[1]中金所raw!$B:$Z,2,0)</f>
        <v>3908855</v>
      </c>
      <c r="D95" s="13">
        <f>VLOOKUP($B95,[1]中金所raw!$B:$Z,3,0)</f>
        <v>2879956</v>
      </c>
      <c r="E95" s="14">
        <f>VLOOKUP($B95,[1]中金所raw!$B:$Z,4,0)</f>
        <v>0.3573</v>
      </c>
      <c r="F95" s="13">
        <f>VLOOKUP($B95,[1]中金所raw!$B:$Z,5,0)</f>
        <v>1942889</v>
      </c>
      <c r="G95" s="14">
        <f>VLOOKUP($B95,[1]中金所raw!$B:$Z,6,0)</f>
        <v>1.0119</v>
      </c>
      <c r="H95" s="40">
        <f t="shared" si="5"/>
        <v>0.00589187888440839</v>
      </c>
      <c r="I95" s="35">
        <f>VLOOKUP($B95,[1]中金所raw!$B:$Z,7,0)</f>
        <v>297.2759098</v>
      </c>
      <c r="J95" s="35">
        <f>VLOOKUP($B95,[1]中金所raw!$B:$Z,8,0)</f>
        <v>279.2488136</v>
      </c>
      <c r="K95" s="14">
        <f>VLOOKUP($B95,[1]中金所raw!$B:$Z,9,0)</f>
        <v>0.0646</v>
      </c>
      <c r="L95" s="35">
        <f>VLOOKUP($B95,[1]中金所raw!$B:$Z,10,0)</f>
        <v>115.2240652</v>
      </c>
      <c r="M95" s="14">
        <f>VLOOKUP($B95,[1]中金所raw!$B:$Z,11,0)</f>
        <v>1.58</v>
      </c>
      <c r="N95" s="26">
        <f t="shared" si="6"/>
        <v>0.000522269403198726</v>
      </c>
      <c r="O95" s="13">
        <f>VLOOKUP($B95,[1]中金所raw!$B:$Z,12,0)</f>
        <v>8628267</v>
      </c>
      <c r="P95" s="13">
        <f>VLOOKUP($B95,[1]中金所raw!$B:$Z,13,0)</f>
        <v>7714369</v>
      </c>
      <c r="Q95" s="14">
        <f>VLOOKUP($B95,[1]中金所raw!$B:$Z,14,0)</f>
        <v>0.1185</v>
      </c>
      <c r="R95" s="26">
        <f t="shared" si="7"/>
        <v>0.00562665243686738</v>
      </c>
      <c r="S95" s="35">
        <f>VLOOKUP($B95,[1]中金所raw!$B:$Z,15,0)</f>
        <v>587.387685</v>
      </c>
      <c r="T95" s="35">
        <f>VLOOKUP($B95,[1]中金所raw!$B:$Z,16,0)</f>
        <v>823.8311242</v>
      </c>
      <c r="U95" s="14">
        <f>VLOOKUP($B95,[1]中金所raw!$B:$Z,17,0)</f>
        <v>-0.287</v>
      </c>
      <c r="V95" s="26">
        <f t="shared" si="8"/>
        <v>0.000456722140473904</v>
      </c>
      <c r="W95" s="13">
        <f>VLOOKUP($B95,[1]中金所raw!$B:$Z,18,0)</f>
        <v>210319</v>
      </c>
      <c r="X95" s="26">
        <f t="shared" si="9"/>
        <v>0.00682912098839593</v>
      </c>
      <c r="Y95" s="13">
        <f>VLOOKUP($B95,[1]中金所raw!$B:$Z,19,0)</f>
        <v>176064</v>
      </c>
      <c r="Z95" s="43">
        <f>VLOOKUP($B95,[1]中金所raw!$B:$Z,20,0)</f>
        <v>0.1946</v>
      </c>
    </row>
    <row r="96" s="1" customFormat="1" ht="22.9" customHeight="1" spans="1:26">
      <c r="A96" s="51"/>
      <c r="B96" s="4" t="s">
        <v>123</v>
      </c>
      <c r="C96" s="13">
        <f>VLOOKUP($B96,[1]中金所raw!$B:$Z,2,0)</f>
        <v>1532174</v>
      </c>
      <c r="D96" s="13">
        <f>VLOOKUP($B96,[1]中金所raw!$B:$Z,3,0)</f>
        <v>1324167</v>
      </c>
      <c r="E96" s="14">
        <f>VLOOKUP($B96,[1]中金所raw!$B:$Z,4,0)</f>
        <v>0.1571</v>
      </c>
      <c r="F96" s="13">
        <f>VLOOKUP($B96,[1]中金所raw!$B:$Z,5,0)</f>
        <v>840909</v>
      </c>
      <c r="G96" s="14">
        <f>VLOOKUP($B96,[1]中金所raw!$B:$Z,6,0)</f>
        <v>0.822</v>
      </c>
      <c r="H96" s="40">
        <f t="shared" si="5"/>
        <v>0.00230947007188538</v>
      </c>
      <c r="I96" s="35">
        <f>VLOOKUP($B96,[1]中金所raw!$B:$Z,7,0)</f>
        <v>13306.8843138</v>
      </c>
      <c r="J96" s="35">
        <f>VLOOKUP($B96,[1]中金所raw!$B:$Z,8,0)</f>
        <v>14194.6068144</v>
      </c>
      <c r="K96" s="14">
        <f>VLOOKUP($B96,[1]中金所raw!$B:$Z,9,0)</f>
        <v>-0.0625</v>
      </c>
      <c r="L96" s="35">
        <f>VLOOKUP($B96,[1]中金所raw!$B:$Z,10,0)</f>
        <v>7864.225896</v>
      </c>
      <c r="M96" s="14">
        <f>VLOOKUP($B96,[1]中金所raw!$B:$Z,11,0)</f>
        <v>0.6921</v>
      </c>
      <c r="N96" s="26">
        <f t="shared" si="6"/>
        <v>0.0233782096022461</v>
      </c>
      <c r="O96" s="13">
        <f>VLOOKUP($B96,[1]中金所raw!$B:$Z,12,0)</f>
        <v>3515133</v>
      </c>
      <c r="P96" s="13">
        <f>VLOOKUP($B96,[1]中金所raw!$B:$Z,13,0)</f>
        <v>3268906</v>
      </c>
      <c r="Q96" s="14">
        <f>VLOOKUP($B96,[1]中金所raw!$B:$Z,14,0)</f>
        <v>0.0753</v>
      </c>
      <c r="R96" s="26">
        <f t="shared" si="7"/>
        <v>0.00229228321983579</v>
      </c>
      <c r="S96" s="35">
        <f>VLOOKUP($B96,[1]中金所raw!$B:$Z,15,0)</f>
        <v>32143.9725618</v>
      </c>
      <c r="T96" s="35">
        <f>VLOOKUP($B96,[1]中金所raw!$B:$Z,16,0)</f>
        <v>36506.1503736</v>
      </c>
      <c r="U96" s="14">
        <f>VLOOKUP($B96,[1]中金所raw!$B:$Z,17,0)</f>
        <v>-0.1195</v>
      </c>
      <c r="V96" s="26">
        <f t="shared" si="8"/>
        <v>0.0249934827145035</v>
      </c>
      <c r="W96" s="13">
        <f>VLOOKUP($B96,[1]中金所raw!$B:$Z,18,0)</f>
        <v>92261</v>
      </c>
      <c r="X96" s="26">
        <f t="shared" si="9"/>
        <v>0.00299574233193576</v>
      </c>
      <c r="Y96" s="13">
        <f>VLOOKUP($B96,[1]中金所raw!$B:$Z,19,0)</f>
        <v>103130</v>
      </c>
      <c r="Z96" s="43">
        <f>VLOOKUP($B96,[1]中金所raw!$B:$Z,20,0)</f>
        <v>-0.1054</v>
      </c>
    </row>
    <row r="97" s="1" customFormat="1" ht="23.45" customHeight="1" spans="1:26">
      <c r="A97" s="51"/>
      <c r="B97" s="4" t="s">
        <v>124</v>
      </c>
      <c r="C97" s="13">
        <f>VLOOKUP($B97,[1]中金所raw!$B:$Z,2,0)</f>
        <v>2612239</v>
      </c>
      <c r="D97" s="13">
        <f>VLOOKUP($B97,[1]中金所raw!$B:$Z,3,0)</f>
        <v>2432032</v>
      </c>
      <c r="E97" s="14">
        <f>VLOOKUP($B97,[1]中金所raw!$B:$Z,4,0)</f>
        <v>0.0741</v>
      </c>
      <c r="F97" s="13">
        <f>VLOOKUP($B97,[1]中金所raw!$B:$Z,5,0)</f>
        <v>1353858</v>
      </c>
      <c r="G97" s="14">
        <f>VLOOKUP($B97,[1]中金所raw!$B:$Z,6,0)</f>
        <v>0.9295</v>
      </c>
      <c r="H97" s="40">
        <f t="shared" si="5"/>
        <v>0.0039374691067149</v>
      </c>
      <c r="I97" s="35">
        <f>VLOOKUP($B97,[1]中金所raw!$B:$Z,7,0)</f>
        <v>32971.4999964</v>
      </c>
      <c r="J97" s="35">
        <f>VLOOKUP($B97,[1]中金所raw!$B:$Z,8,0)</f>
        <v>30024.24739</v>
      </c>
      <c r="K97" s="14">
        <f>VLOOKUP($B97,[1]中金所raw!$B:$Z,9,0)</f>
        <v>0.0982</v>
      </c>
      <c r="L97" s="35">
        <f>VLOOKUP($B97,[1]中金所raw!$B:$Z,10,0)</f>
        <v>18272.1755184</v>
      </c>
      <c r="M97" s="14">
        <f>VLOOKUP($B97,[1]中金所raw!$B:$Z,11,0)</f>
        <v>0.8045</v>
      </c>
      <c r="N97" s="26">
        <f t="shared" si="6"/>
        <v>0.0579260042876392</v>
      </c>
      <c r="O97" s="13">
        <f>VLOOKUP($B97,[1]中金所raw!$B:$Z,12,0)</f>
        <v>5649558</v>
      </c>
      <c r="P97" s="13">
        <f>VLOOKUP($B97,[1]中金所raw!$B:$Z,13,0)</f>
        <v>6277621</v>
      </c>
      <c r="Q97" s="14">
        <f>VLOOKUP($B97,[1]中金所raw!$B:$Z,14,0)</f>
        <v>-0.1</v>
      </c>
      <c r="R97" s="26">
        <f t="shared" si="7"/>
        <v>0.00368418122525921</v>
      </c>
      <c r="S97" s="35">
        <f>VLOOKUP($B97,[1]中金所raw!$B:$Z,15,0)</f>
        <v>74852.1774752</v>
      </c>
      <c r="T97" s="35">
        <f>VLOOKUP($B97,[1]中金所raw!$B:$Z,16,0)</f>
        <v>79293.0331956</v>
      </c>
      <c r="U97" s="14">
        <f>VLOOKUP($B97,[1]中金所raw!$B:$Z,17,0)</f>
        <v>-0.056</v>
      </c>
      <c r="V97" s="26">
        <f t="shared" si="8"/>
        <v>0.0582011635392149</v>
      </c>
      <c r="W97" s="13">
        <f>VLOOKUP($B97,[1]中金所raw!$B:$Z,18,0)</f>
        <v>312565</v>
      </c>
      <c r="X97" s="26">
        <f t="shared" si="9"/>
        <v>0.0101490792640607</v>
      </c>
      <c r="Y97" s="13">
        <f>VLOOKUP($B97,[1]中金所raw!$B:$Z,19,0)</f>
        <v>301140</v>
      </c>
      <c r="Z97" s="43">
        <f>VLOOKUP($B97,[1]中金所raw!$B:$Z,20,0)</f>
        <v>0.0379</v>
      </c>
    </row>
    <row r="98" s="3" customFormat="1" spans="1:26">
      <c r="A98" s="52"/>
      <c r="B98" s="53" t="s">
        <v>125</v>
      </c>
      <c r="C98" s="47">
        <f>VLOOKUP($B98,[1]中金所raw!$B:$Z,2,0)</f>
        <v>14497128</v>
      </c>
      <c r="D98" s="47">
        <f>VLOOKUP($B98,[1]中金所raw!$B:$Z,3,0)</f>
        <v>12168842</v>
      </c>
      <c r="E98" s="48">
        <f>VLOOKUP($B98,[1]中金所raw!$B:$Z,4,0)</f>
        <v>0.1913</v>
      </c>
      <c r="F98" s="47">
        <f>VLOOKUP($B98,[1]中金所raw!$B:$Z,5,0)</f>
        <v>8260077</v>
      </c>
      <c r="G98" s="48">
        <f>VLOOKUP($B98,[1]中金所raw!$B:$Z,6,0)</f>
        <v>0.7551</v>
      </c>
      <c r="H98" s="54">
        <f t="shared" si="5"/>
        <v>0.0218517500259707</v>
      </c>
      <c r="I98" s="63">
        <f>VLOOKUP($B98,[1]中金所raw!$B:$Z,7,0)</f>
        <v>123464.078986</v>
      </c>
      <c r="J98" s="63">
        <f>VLOOKUP($B98,[1]中金所raw!$B:$Z,8,0)</f>
        <v>119878.9586586</v>
      </c>
      <c r="K98" s="48">
        <f>VLOOKUP($B98,[1]中金所raw!$B:$Z,9,0)</f>
        <v>0.0299</v>
      </c>
      <c r="L98" s="63">
        <f>VLOOKUP($B98,[1]中金所raw!$B:$Z,10,0)</f>
        <v>76678.7207128</v>
      </c>
      <c r="M98" s="48">
        <f>VLOOKUP($B98,[1]中金所raw!$B:$Z,11,0)</f>
        <v>0.6101</v>
      </c>
      <c r="N98" s="65">
        <f t="shared" si="6"/>
        <v>0.216907958979522</v>
      </c>
      <c r="O98" s="47">
        <f>VLOOKUP($B98,[1]中金所raw!$B:$Z,12,0)</f>
        <v>32471801</v>
      </c>
      <c r="P98" s="47">
        <f>VLOOKUP($B98,[1]中金所raw!$B:$Z,13,0)</f>
        <v>31379955</v>
      </c>
      <c r="Q98" s="48">
        <f>VLOOKUP($B98,[1]中金所raw!$B:$Z,14,0)</f>
        <v>0.0348</v>
      </c>
      <c r="R98" s="65">
        <f t="shared" si="7"/>
        <v>0.0211754617962243</v>
      </c>
      <c r="S98" s="63">
        <f>VLOOKUP($B98,[1]中金所raw!$B:$Z,15,0)</f>
        <v>287282.1779198</v>
      </c>
      <c r="T98" s="63">
        <f>VLOOKUP($B98,[1]中金所raw!$B:$Z,16,0)</f>
        <v>312590.7087018</v>
      </c>
      <c r="U98" s="48">
        <f>VLOOKUP($B98,[1]中金所raw!$B:$Z,17,0)</f>
        <v>-0.081</v>
      </c>
      <c r="V98" s="65">
        <f t="shared" si="8"/>
        <v>0.223375693039148</v>
      </c>
      <c r="W98" s="47">
        <f>VLOOKUP($B98,[1]中金所raw!$B:$Z,18,0)</f>
        <v>1159294</v>
      </c>
      <c r="X98" s="65">
        <f t="shared" si="9"/>
        <v>0.0376426237625772</v>
      </c>
      <c r="Y98" s="47">
        <f>VLOOKUP($B98,[1]中金所raw!$B:$Z,19,0)</f>
        <v>1077402</v>
      </c>
      <c r="Z98" s="68">
        <f>VLOOKUP($B98,[1]中金所raw!$B:$Z,20,0)</f>
        <v>0.076</v>
      </c>
    </row>
    <row r="99" s="1" customFormat="1" ht="14.25" spans="1:26">
      <c r="A99" s="55" t="s">
        <v>126</v>
      </c>
      <c r="B99" s="56"/>
      <c r="C99" s="57">
        <f t="shared" ref="C99:F99" si="10">C24+C30+C60+C90+C98</f>
        <v>663430983</v>
      </c>
      <c r="D99" s="57">
        <f t="shared" si="10"/>
        <v>800602985</v>
      </c>
      <c r="E99" s="58">
        <f>(C99-D99)/D99</f>
        <v>-0.171335861307087</v>
      </c>
      <c r="F99" s="59">
        <f t="shared" si="10"/>
        <v>426925270</v>
      </c>
      <c r="G99" s="60">
        <f>(C99-F99)/F99</f>
        <v>0.553974500033694</v>
      </c>
      <c r="H99" s="60">
        <f>H24+H30+H60+H90+H98</f>
        <v>1</v>
      </c>
      <c r="I99" s="66">
        <f t="shared" ref="I99:L99" si="11">I24+I30+I90+I60+I98</f>
        <v>569200.316884895</v>
      </c>
      <c r="J99" s="66">
        <f t="shared" si="11"/>
        <v>600820.095633735</v>
      </c>
      <c r="K99" s="58">
        <f>(I99-J99)/J99</f>
        <v>-0.052627698338698</v>
      </c>
      <c r="L99" s="66">
        <f t="shared" si="11"/>
        <v>350415.257704145</v>
      </c>
      <c r="M99" s="60">
        <f>(I99-L99)/L99</f>
        <v>0.624359397516503</v>
      </c>
      <c r="N99" s="67">
        <f>N24+N30+N60+N90+N98</f>
        <v>1</v>
      </c>
      <c r="O99" s="57">
        <f t="shared" ref="O99:T99" si="12">O24+O30+O90+O60+O98</f>
        <v>1533463653</v>
      </c>
      <c r="P99" s="57">
        <f t="shared" si="12"/>
        <v>1849188663</v>
      </c>
      <c r="Q99" s="58">
        <f>(O99-P99)/P99</f>
        <v>-0.170737046098795</v>
      </c>
      <c r="R99" s="67">
        <f>R24+R30+R60+R90+R98</f>
        <v>1</v>
      </c>
      <c r="S99" s="66">
        <f>S90+S30+S60+S24+S98</f>
        <v>1286094.17618886</v>
      </c>
      <c r="T99" s="66">
        <f t="shared" si="12"/>
        <v>1413583.5485966</v>
      </c>
      <c r="U99" s="60">
        <f>(S99-T99)/T99</f>
        <v>-0.0901887776879591</v>
      </c>
      <c r="V99" s="67">
        <f>V24++V30+V60+V90+V98</f>
        <v>1</v>
      </c>
      <c r="W99" s="57">
        <f t="shared" ref="W99:Y99" si="13">W24+W30+W60+W90+W98</f>
        <v>30797375</v>
      </c>
      <c r="X99" s="67">
        <f t="shared" si="13"/>
        <v>1</v>
      </c>
      <c r="Y99" s="57">
        <f t="shared" si="13"/>
        <v>31636596</v>
      </c>
      <c r="Z99" s="69">
        <f>(W99-Y99)/Y99</f>
        <v>-0.0265269057391636</v>
      </c>
    </row>
    <row r="100" s="1" customFormat="1" spans="1:26">
      <c r="A100" s="61" t="s">
        <v>130</v>
      </c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</row>
  </sheetData>
  <mergeCells count="7">
    <mergeCell ref="A99:B99"/>
    <mergeCell ref="A100:Z100"/>
    <mergeCell ref="A3:A24"/>
    <mergeCell ref="A25:A30"/>
    <mergeCell ref="A31:A60"/>
    <mergeCell ref="A61:A90"/>
    <mergeCell ref="A91:A9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2月</vt:lpstr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时锋</cp:lastModifiedBy>
  <dcterms:created xsi:type="dcterms:W3CDTF">2013-01-31T09:42:00Z</dcterms:created>
  <cp:lastPrinted>2013-02-01T00:50:00Z</cp:lastPrinted>
  <dcterms:modified xsi:type="dcterms:W3CDTF">2022-04-01T01:36:25Z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8A227C9786704583BD9CAD6E7D69B721</vt:lpwstr>
  </property>
</Properties>
</file>